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2240" windowHeight="9240" activeTab="3"/>
  </bookViews>
  <sheets>
    <sheet name="тит на паспорт" sheetId="8" r:id="rId1"/>
    <sheet name="пасп" sheetId="2" r:id="rId2"/>
    <sheet name="пасп (2)" sheetId="18" r:id="rId3"/>
    <sheet name="ГКРМ" sheetId="15" r:id="rId4"/>
    <sheet name="лист изменений" sheetId="11" r:id="rId5"/>
    <sheet name="d-l-h" sheetId="12" r:id="rId6"/>
    <sheet name="d кроны" sheetId="14" r:id="rId7"/>
    <sheet name="Лист2" sheetId="16" r:id="rId8"/>
    <sheet name="Лист1" sheetId="17" r:id="rId9"/>
  </sheets>
  <externalReferences>
    <externalReference r:id="rId10"/>
    <externalReference r:id="rId11"/>
  </externalReferences>
  <definedNames>
    <definedName name="_xlnm._FilterDatabase" localSheetId="1" hidden="1">пасп!$A$5:$Y$54</definedName>
    <definedName name="_xlnm._FilterDatabase" localSheetId="2" hidden="1">'пасп (2)'!$A$5:$Y$18</definedName>
    <definedName name="CIty">'[1]Рабочая таблица'!$D$3</definedName>
    <definedName name="DateOs">'[1]Рабочая таблица'!$D$8</definedName>
    <definedName name="KSD">[2]НСИ!$AB$4:$AB$8</definedName>
    <definedName name="ListERM">[2]НСИ!$B$4:$B$356</definedName>
    <definedName name="ObjAddr">'[1]Рабочая таблица'!$D$4</definedName>
    <definedName name="ObjRM">'[1]Рабочая таблица'!$D$5</definedName>
    <definedName name="Owner">'[1]Рабочая таблица'!$D$2</definedName>
    <definedName name="TPD">[2]НСИ!$N$4:$N$6</definedName>
    <definedName name="TypeERM">[2]НСИ!$L$4:$L$5</definedName>
    <definedName name="датаосмотра" localSheetId="2">#REF!</definedName>
    <definedName name="датаосмотра">#REF!</definedName>
    <definedName name="_xlnm.Print_Area" localSheetId="3">ГКРМ!$A$1:$H$53</definedName>
    <definedName name="_xlnm.Print_Area" localSheetId="1">пасп!$A$1:$Q$61</definedName>
    <definedName name="_xlnm.Print_Area" localSheetId="2">'пасп (2)'!$A$1:$Q$25</definedName>
    <definedName name="_xlnm.Print_Area" localSheetId="0">'тит на паспорт'!$A$1:$J$37</definedName>
    <definedName name="срокдействия" localSheetId="2">#REF!</definedName>
    <definedName name="срокдействия">#REF!</definedName>
  </definedNames>
  <calcPr calcId="125725"/>
</workbook>
</file>

<file path=xl/calcChain.xml><?xml version="1.0" encoding="utf-8"?>
<calcChain xmlns="http://schemas.openxmlformats.org/spreadsheetml/2006/main">
  <c r="I18" i="18"/>
  <c r="H18"/>
  <c r="F18"/>
  <c r="E18"/>
  <c r="C18"/>
  <c r="M18"/>
  <c r="N18"/>
  <c r="C6"/>
  <c r="U13"/>
  <c r="V6"/>
  <c r="W6" s="1"/>
  <c r="H6"/>
  <c r="G6"/>
  <c r="B6" i="15"/>
  <c r="N13" i="2"/>
  <c r="M13"/>
  <c r="P52"/>
  <c r="O52"/>
  <c r="N52"/>
  <c r="M52"/>
  <c r="H52"/>
  <c r="F52"/>
  <c r="E52"/>
  <c r="I52" s="1"/>
  <c r="C52"/>
  <c r="U47"/>
  <c r="V21"/>
  <c r="W21" s="1"/>
  <c r="V15"/>
  <c r="W15" s="1"/>
  <c r="H15"/>
  <c r="G15"/>
  <c r="P14"/>
  <c r="O14"/>
  <c r="H14"/>
  <c r="F14"/>
  <c r="E14"/>
  <c r="C14"/>
  <c r="C13"/>
  <c r="E13"/>
  <c r="F13"/>
  <c r="G13" s="1"/>
  <c r="I13" l="1"/>
  <c r="G18" i="18"/>
  <c r="I14" i="2"/>
  <c r="G14"/>
  <c r="G52"/>
  <c r="N54"/>
  <c r="M54"/>
  <c r="F53"/>
  <c r="E53"/>
  <c r="I53" s="1"/>
  <c r="C53"/>
  <c r="G53" l="1"/>
  <c r="N53"/>
  <c r="H4" i="14" l="1"/>
  <c r="M53" i="2"/>
  <c r="O53"/>
  <c r="P53"/>
  <c r="G15" i="17"/>
  <c r="G7"/>
  <c r="G11"/>
  <c r="F17"/>
  <c r="V6" i="2"/>
  <c r="W6" s="1"/>
  <c r="H3" i="14"/>
  <c r="R53" i="2" l="1"/>
  <c r="K70" i="16" l="1"/>
  <c r="C20" l="1"/>
  <c r="C14"/>
  <c r="I14"/>
  <c r="G18"/>
  <c r="E14"/>
  <c r="V8" i="2" l="1"/>
  <c r="W8" s="1"/>
  <c r="V7"/>
  <c r="W7" s="1"/>
  <c r="V9"/>
  <c r="W9" s="1"/>
  <c r="V10"/>
  <c r="W10" s="1"/>
  <c r="X6" l="1"/>
  <c r="G6"/>
  <c r="H6"/>
  <c r="H53" l="1"/>
  <c r="H13"/>
  <c r="E218" i="14"/>
  <c r="F218" s="1"/>
  <c r="H218" s="1"/>
  <c r="C218"/>
  <c r="H217"/>
  <c r="F217"/>
  <c r="H216"/>
  <c r="F216"/>
  <c r="H215"/>
  <c r="F215"/>
  <c r="E214"/>
  <c r="F214" s="1"/>
  <c r="H214" s="1"/>
  <c r="C214"/>
  <c r="H213"/>
  <c r="F213"/>
  <c r="H212"/>
  <c r="F212"/>
  <c r="H211"/>
  <c r="F211"/>
  <c r="E210"/>
  <c r="F210" s="1"/>
  <c r="H210" s="1"/>
  <c r="C210"/>
  <c r="H209"/>
  <c r="F209"/>
  <c r="H208"/>
  <c r="F208"/>
  <c r="H207"/>
  <c r="F207"/>
  <c r="E206"/>
  <c r="F206" s="1"/>
  <c r="H206" s="1"/>
  <c r="C206"/>
  <c r="H205"/>
  <c r="F205"/>
  <c r="H204"/>
  <c r="F204"/>
  <c r="H203"/>
  <c r="F203"/>
  <c r="E202"/>
  <c r="F202" s="1"/>
  <c r="H202" s="1"/>
  <c r="C202"/>
  <c r="H201"/>
  <c r="F201"/>
  <c r="H200"/>
  <c r="F200"/>
  <c r="H199"/>
  <c r="F199"/>
  <c r="H198"/>
  <c r="F198"/>
  <c r="E197"/>
  <c r="F197" s="1"/>
  <c r="H197" s="1"/>
  <c r="C197"/>
  <c r="H196"/>
  <c r="F196"/>
  <c r="H195"/>
  <c r="F195"/>
  <c r="H194"/>
  <c r="F194"/>
  <c r="H193"/>
  <c r="F193"/>
  <c r="E192"/>
  <c r="F192" s="1"/>
  <c r="H192" s="1"/>
  <c r="C192"/>
  <c r="H191"/>
  <c r="F191"/>
  <c r="H190"/>
  <c r="F190"/>
  <c r="H189"/>
  <c r="F189"/>
  <c r="E188"/>
  <c r="F188" s="1"/>
  <c r="H188" s="1"/>
  <c r="C188"/>
  <c r="H187"/>
  <c r="F187"/>
  <c r="H186"/>
  <c r="F186"/>
  <c r="H185"/>
  <c r="F185"/>
  <c r="F184"/>
  <c r="F183"/>
  <c r="F182"/>
  <c r="F181"/>
  <c r="F180"/>
  <c r="F179"/>
  <c r="E177"/>
  <c r="F177" s="1"/>
  <c r="H177" s="1"/>
  <c r="C177"/>
  <c r="H176"/>
  <c r="F176"/>
  <c r="H175"/>
  <c r="F175"/>
  <c r="H174"/>
  <c r="F174"/>
  <c r="H173"/>
  <c r="F173"/>
  <c r="H172"/>
  <c r="F172"/>
  <c r="H171"/>
  <c r="F171"/>
  <c r="E170"/>
  <c r="F170" s="1"/>
  <c r="H170" s="1"/>
  <c r="C170"/>
  <c r="H169"/>
  <c r="F169"/>
  <c r="H168"/>
  <c r="F168"/>
  <c r="H167"/>
  <c r="F167"/>
  <c r="H166"/>
  <c r="F166"/>
  <c r="H165"/>
  <c r="F165"/>
  <c r="H164"/>
  <c r="F164"/>
  <c r="H163"/>
  <c r="F163"/>
  <c r="H162"/>
  <c r="F162"/>
  <c r="H161"/>
  <c r="F161"/>
  <c r="H160"/>
  <c r="F160"/>
  <c r="H159"/>
  <c r="F159"/>
  <c r="H158"/>
  <c r="F158"/>
  <c r="H157"/>
  <c r="F157"/>
  <c r="H156"/>
  <c r="F156"/>
  <c r="H155"/>
  <c r="F155"/>
  <c r="H154"/>
  <c r="F154"/>
  <c r="H153"/>
  <c r="F153"/>
  <c r="H152"/>
  <c r="F152"/>
  <c r="H151"/>
  <c r="F151"/>
  <c r="H150"/>
  <c r="F150"/>
  <c r="E149"/>
  <c r="F149" s="1"/>
  <c r="H149" s="1"/>
  <c r="C149"/>
  <c r="H148"/>
  <c r="F148"/>
  <c r="H147"/>
  <c r="F147"/>
  <c r="H146"/>
  <c r="F146"/>
  <c r="H145"/>
  <c r="F145"/>
  <c r="H144"/>
  <c r="F144"/>
  <c r="E143"/>
  <c r="F143" s="1"/>
  <c r="H143" s="1"/>
  <c r="C143"/>
  <c r="H142"/>
  <c r="F142"/>
  <c r="H141"/>
  <c r="F141"/>
  <c r="H140"/>
  <c r="F140"/>
  <c r="H139"/>
  <c r="F139"/>
  <c r="H138"/>
  <c r="F138"/>
  <c r="H137"/>
  <c r="F137"/>
  <c r="H136"/>
  <c r="F136"/>
  <c r="H135"/>
  <c r="F135"/>
  <c r="H134"/>
  <c r="F134"/>
  <c r="H133"/>
  <c r="F133"/>
  <c r="H132"/>
  <c r="F132"/>
  <c r="H131"/>
  <c r="F131"/>
  <c r="H130"/>
  <c r="F130"/>
  <c r="H129"/>
  <c r="F129"/>
  <c r="H128"/>
  <c r="F128"/>
  <c r="H127"/>
  <c r="F127"/>
  <c r="H126"/>
  <c r="F126"/>
  <c r="H125"/>
  <c r="F125"/>
  <c r="H124"/>
  <c r="F124"/>
  <c r="H123"/>
  <c r="F123"/>
  <c r="E122"/>
  <c r="F122" s="1"/>
  <c r="H122" s="1"/>
  <c r="C122"/>
  <c r="H121"/>
  <c r="F121"/>
  <c r="H120"/>
  <c r="F120"/>
  <c r="H119"/>
  <c r="F119"/>
  <c r="H118"/>
  <c r="F118"/>
  <c r="H117"/>
  <c r="F117"/>
  <c r="H116"/>
  <c r="F116"/>
  <c r="H115"/>
  <c r="F115"/>
  <c r="H114"/>
  <c r="F114"/>
  <c r="H113"/>
  <c r="F113"/>
  <c r="H112"/>
  <c r="F112"/>
  <c r="E111"/>
  <c r="F111" s="1"/>
  <c r="H111" s="1"/>
  <c r="C111"/>
  <c r="H110"/>
  <c r="F110"/>
  <c r="H109"/>
  <c r="F109"/>
  <c r="H108"/>
  <c r="F108"/>
  <c r="H107"/>
  <c r="F107"/>
  <c r="H106"/>
  <c r="F106"/>
  <c r="H105"/>
  <c r="F105"/>
  <c r="H104"/>
  <c r="F104"/>
  <c r="H103"/>
  <c r="F103"/>
  <c r="H102"/>
  <c r="F102"/>
  <c r="H101"/>
  <c r="F101"/>
  <c r="H100"/>
  <c r="F100"/>
  <c r="H99"/>
  <c r="F99"/>
  <c r="H98"/>
  <c r="F98"/>
  <c r="H97"/>
  <c r="F97"/>
  <c r="H96"/>
  <c r="F96"/>
  <c r="E95"/>
  <c r="F95" s="1"/>
  <c r="H95" s="1"/>
  <c r="C95"/>
  <c r="H94"/>
  <c r="F94"/>
  <c r="H93"/>
  <c r="F93"/>
  <c r="H92"/>
  <c r="F92"/>
  <c r="H91"/>
  <c r="F91"/>
  <c r="H90"/>
  <c r="F90"/>
  <c r="H89"/>
  <c r="F89"/>
  <c r="H88"/>
  <c r="F88"/>
  <c r="H87"/>
  <c r="F87"/>
  <c r="H86"/>
  <c r="F86"/>
  <c r="H85"/>
  <c r="F85"/>
  <c r="H84"/>
  <c r="F84"/>
  <c r="H83"/>
  <c r="F83"/>
  <c r="H82"/>
  <c r="F82"/>
  <c r="H81"/>
  <c r="F81"/>
  <c r="H80"/>
  <c r="F80"/>
  <c r="E79"/>
  <c r="F79" s="1"/>
  <c r="H79" s="1"/>
  <c r="C79"/>
  <c r="H78"/>
  <c r="F78"/>
  <c r="H77"/>
  <c r="F77"/>
  <c r="H76"/>
  <c r="F76"/>
  <c r="H75"/>
  <c r="F75"/>
  <c r="H74"/>
  <c r="F74"/>
  <c r="E73"/>
  <c r="F73" s="1"/>
  <c r="H73" s="1"/>
  <c r="C73"/>
  <c r="H72"/>
  <c r="F72"/>
  <c r="H71"/>
  <c r="F71"/>
  <c r="H70"/>
  <c r="F70"/>
  <c r="H69"/>
  <c r="F69"/>
  <c r="H68"/>
  <c r="F68"/>
  <c r="E67"/>
  <c r="F67" s="1"/>
  <c r="H67" s="1"/>
  <c r="C67"/>
  <c r="H66"/>
  <c r="F66"/>
  <c r="H65"/>
  <c r="F65"/>
  <c r="H64"/>
  <c r="F64"/>
  <c r="H63"/>
  <c r="F63"/>
  <c r="H62"/>
  <c r="F62"/>
  <c r="E61"/>
  <c r="F61" s="1"/>
  <c r="H61" s="1"/>
  <c r="C61"/>
  <c r="H60"/>
  <c r="F60"/>
  <c r="H59"/>
  <c r="F59"/>
  <c r="H58"/>
  <c r="F58"/>
  <c r="H57"/>
  <c r="F57"/>
  <c r="H56"/>
  <c r="F56"/>
  <c r="E55"/>
  <c r="F55" s="1"/>
  <c r="H55" s="1"/>
  <c r="C55"/>
  <c r="H54"/>
  <c r="F54"/>
  <c r="H53"/>
  <c r="F53"/>
  <c r="H52"/>
  <c r="F52"/>
  <c r="H51"/>
  <c r="F51"/>
  <c r="H50"/>
  <c r="F50"/>
  <c r="E49"/>
  <c r="F49" s="1"/>
  <c r="H49" s="1"/>
  <c r="C49"/>
  <c r="H48"/>
  <c r="F48"/>
  <c r="H47"/>
  <c r="F47"/>
  <c r="H46"/>
  <c r="F46"/>
  <c r="H45"/>
  <c r="F45"/>
  <c r="H44"/>
  <c r="F44"/>
  <c r="E43"/>
  <c r="F43" s="1"/>
  <c r="H43" s="1"/>
  <c r="C43"/>
  <c r="H42"/>
  <c r="F42"/>
  <c r="H41"/>
  <c r="F41"/>
  <c r="H40"/>
  <c r="F40"/>
  <c r="H39"/>
  <c r="F39"/>
  <c r="H38"/>
  <c r="F38"/>
  <c r="E37"/>
  <c r="F37" s="1"/>
  <c r="H37" s="1"/>
  <c r="C37"/>
  <c r="E36"/>
  <c r="F36" s="1"/>
  <c r="H36" s="1"/>
  <c r="F35"/>
  <c r="H35" s="1"/>
  <c r="F34"/>
  <c r="H34" s="1"/>
  <c r="F33"/>
  <c r="H33" s="1"/>
  <c r="F32"/>
  <c r="H32" s="1"/>
  <c r="F31"/>
  <c r="H31" s="1"/>
  <c r="E31"/>
  <c r="C31"/>
  <c r="F30"/>
  <c r="H30" s="1"/>
  <c r="C30"/>
  <c r="H29"/>
  <c r="F29"/>
  <c r="C29"/>
  <c r="F28"/>
  <c r="H28" s="1"/>
  <c r="C28"/>
  <c r="H27"/>
  <c r="F27"/>
  <c r="C27"/>
  <c r="F26"/>
  <c r="H26" s="1"/>
  <c r="F25"/>
  <c r="H25" s="1"/>
  <c r="E25"/>
  <c r="C25"/>
  <c r="F24"/>
  <c r="H24" s="1"/>
  <c r="C24"/>
  <c r="H23"/>
  <c r="F23"/>
  <c r="C23"/>
  <c r="F22"/>
  <c r="H22" s="1"/>
  <c r="C22"/>
  <c r="H21"/>
  <c r="F21"/>
  <c r="C21"/>
  <c r="F20"/>
  <c r="H20" s="1"/>
  <c r="F19"/>
  <c r="H19" s="1"/>
  <c r="E19"/>
  <c r="C19"/>
  <c r="F18"/>
  <c r="H18" s="1"/>
  <c r="C18"/>
  <c r="H17"/>
  <c r="F17"/>
  <c r="C17"/>
  <c r="F16"/>
  <c r="H16" s="1"/>
  <c r="F15"/>
  <c r="H15" s="1"/>
  <c r="E15"/>
  <c r="E14"/>
  <c r="F14" s="1"/>
  <c r="H14" s="1"/>
  <c r="F13"/>
  <c r="H13" s="1"/>
  <c r="F12"/>
  <c r="H12" s="1"/>
  <c r="F11"/>
  <c r="H11" s="1"/>
  <c r="F10"/>
  <c r="H10" s="1"/>
  <c r="E10"/>
  <c r="C10"/>
  <c r="F9"/>
  <c r="H9" s="1"/>
  <c r="F8"/>
  <c r="H8" s="1"/>
  <c r="F7"/>
  <c r="H7" s="1"/>
  <c r="F6"/>
  <c r="H6" s="1"/>
  <c r="F5"/>
  <c r="H5" s="1"/>
  <c r="F4"/>
  <c r="F3"/>
  <c r="Y24" i="12"/>
  <c r="Y23"/>
  <c r="Y22"/>
  <c r="Y21"/>
  <c r="Y20"/>
  <c r="Y19"/>
  <c r="Y18"/>
  <c r="Y17"/>
  <c r="AP16"/>
  <c r="Y16"/>
  <c r="Y15"/>
  <c r="Y14"/>
  <c r="Y13"/>
  <c r="Y12"/>
  <c r="Y11"/>
  <c r="Y10"/>
  <c r="Y8"/>
  <c r="Y7"/>
  <c r="B7"/>
  <c r="O7" s="1"/>
  <c r="Q7" s="1"/>
  <c r="O6"/>
  <c r="Q6" s="1"/>
  <c r="B8" l="1"/>
  <c r="O8" l="1"/>
  <c r="Q8" s="1"/>
  <c r="B9"/>
  <c r="B10" l="1"/>
  <c r="O9"/>
  <c r="Q9" s="1"/>
  <c r="B11" l="1"/>
  <c r="O10"/>
  <c r="Q10" s="1"/>
  <c r="B12" l="1"/>
  <c r="O11"/>
  <c r="Q11" s="1"/>
  <c r="AD6"/>
  <c r="B13" l="1"/>
  <c r="O12"/>
  <c r="Q12" s="1"/>
  <c r="B14" l="1"/>
  <c r="M13"/>
  <c r="O13"/>
  <c r="Q13" s="1"/>
  <c r="K13"/>
  <c r="B15" l="1"/>
  <c r="M14"/>
  <c r="O14"/>
  <c r="Q14" s="1"/>
  <c r="K14"/>
  <c r="B16" l="1"/>
  <c r="M15"/>
  <c r="O15"/>
  <c r="Q15" s="1"/>
  <c r="K15"/>
  <c r="AD16" l="1"/>
  <c r="B17"/>
  <c r="J17" s="1"/>
  <c r="M16"/>
  <c r="O16"/>
  <c r="Q16" s="1"/>
  <c r="K16"/>
  <c r="F17"/>
  <c r="AD17" l="1"/>
  <c r="AP17"/>
  <c r="M17"/>
  <c r="B18"/>
  <c r="O17"/>
  <c r="Q17" s="1"/>
  <c r="K17"/>
  <c r="AL17"/>
  <c r="AL18" l="1"/>
  <c r="AD18"/>
  <c r="AD19" s="1"/>
  <c r="O18"/>
  <c r="Q18" s="1"/>
  <c r="K18"/>
  <c r="B19"/>
  <c r="M18"/>
  <c r="F18"/>
  <c r="AP18" s="1"/>
  <c r="AJ18"/>
  <c r="AJ19" s="1"/>
  <c r="AH18"/>
  <c r="AH19" s="1"/>
  <c r="AL19"/>
  <c r="F19"/>
  <c r="J18"/>
  <c r="J19" s="1"/>
  <c r="AP19" l="1"/>
  <c r="AN18"/>
  <c r="AN19" s="1"/>
  <c r="O19"/>
  <c r="Q19" s="1"/>
  <c r="K19"/>
  <c r="B20"/>
  <c r="AA19"/>
  <c r="AC19" s="1"/>
  <c r="M19"/>
  <c r="Z20"/>
  <c r="J20"/>
  <c r="AH20"/>
  <c r="V20"/>
  <c r="B21" l="1"/>
  <c r="M20"/>
  <c r="AA20"/>
  <c r="AC20" s="1"/>
  <c r="O20"/>
  <c r="Q20" s="1"/>
  <c r="K20"/>
  <c r="R20"/>
  <c r="R21" s="1"/>
  <c r="AB20"/>
  <c r="AB21" s="1"/>
  <c r="Z21"/>
  <c r="P20"/>
  <c r="V21"/>
  <c r="J21"/>
  <c r="AD20"/>
  <c r="AD21" s="1"/>
  <c r="AH21"/>
  <c r="X20"/>
  <c r="X21" s="1"/>
  <c r="F20"/>
  <c r="AL20"/>
  <c r="AL21" s="1"/>
  <c r="P21"/>
  <c r="H20"/>
  <c r="H21" s="1"/>
  <c r="AJ20"/>
  <c r="AJ21" s="1"/>
  <c r="AA21" l="1"/>
  <c r="AC21" s="1"/>
  <c r="O21"/>
  <c r="Q21" s="1"/>
  <c r="K21"/>
  <c r="B22"/>
  <c r="AJ22" s="1"/>
  <c r="M21"/>
  <c r="P22"/>
  <c r="AH22"/>
  <c r="X22"/>
  <c r="F21"/>
  <c r="F22" s="1"/>
  <c r="AP20"/>
  <c r="AN20"/>
  <c r="AN21" s="1"/>
  <c r="H22" l="1"/>
  <c r="V22"/>
  <c r="AP21"/>
  <c r="AA22"/>
  <c r="AC22" s="1"/>
  <c r="M22"/>
  <c r="B23"/>
  <c r="V23" s="1"/>
  <c r="O22"/>
  <c r="Q22" s="1"/>
  <c r="K22"/>
  <c r="AJ23"/>
  <c r="R22"/>
  <c r="P23"/>
  <c r="T22"/>
  <c r="T23" s="1"/>
  <c r="AF23"/>
  <c r="AH23"/>
  <c r="Z22"/>
  <c r="Z23" s="1"/>
  <c r="R23"/>
  <c r="X23"/>
  <c r="AB22"/>
  <c r="AB23" s="1"/>
  <c r="F23"/>
  <c r="AN22"/>
  <c r="J22"/>
  <c r="J23" s="1"/>
  <c r="AL22"/>
  <c r="AL23" s="1"/>
  <c r="AP22"/>
  <c r="AP23" s="1"/>
  <c r="AD22"/>
  <c r="AD23" s="1"/>
  <c r="AN23" l="1"/>
  <c r="B24"/>
  <c r="AB24" s="1"/>
  <c r="AA23"/>
  <c r="AC23" s="1"/>
  <c r="M23"/>
  <c r="O23"/>
  <c r="Q23" s="1"/>
  <c r="K23"/>
  <c r="AD24"/>
  <c r="J24"/>
  <c r="X24"/>
  <c r="AH24"/>
  <c r="H23"/>
  <c r="H24" s="1"/>
  <c r="F24"/>
  <c r="AN24" l="1"/>
  <c r="V24"/>
  <c r="T24"/>
  <c r="P24"/>
  <c r="Z24"/>
  <c r="AP24"/>
  <c r="B25"/>
  <c r="AA24"/>
  <c r="AC24" s="1"/>
  <c r="M24"/>
  <c r="O24"/>
  <c r="Q24" s="1"/>
  <c r="K24"/>
  <c r="AD25"/>
  <c r="J25"/>
  <c r="H25"/>
  <c r="T25"/>
  <c r="X25"/>
  <c r="AB25"/>
  <c r="D24"/>
  <c r="D25" s="1"/>
  <c r="R24"/>
  <c r="R25" s="1"/>
  <c r="AJ24"/>
  <c r="AJ25" s="1"/>
  <c r="F25"/>
  <c r="Z25"/>
  <c r="AH25"/>
  <c r="AL24"/>
  <c r="AF24"/>
  <c r="AF25" s="1"/>
  <c r="AP25" l="1"/>
  <c r="M25"/>
  <c r="B26"/>
  <c r="AJ26" s="1"/>
  <c r="AA25"/>
  <c r="AC25" s="1"/>
  <c r="O25"/>
  <c r="Q25" s="1"/>
  <c r="K25"/>
  <c r="D26"/>
  <c r="AD26"/>
  <c r="J26"/>
  <c r="T26"/>
  <c r="X26"/>
  <c r="H26"/>
  <c r="Z26"/>
  <c r="AB26"/>
  <c r="AN25"/>
  <c r="R26"/>
  <c r="V25"/>
  <c r="V26" s="1"/>
  <c r="AL25"/>
  <c r="AL26" s="1"/>
  <c r="F26"/>
  <c r="P25"/>
  <c r="P26" s="1"/>
  <c r="AF26"/>
  <c r="AN26" l="1"/>
  <c r="B27"/>
  <c r="AL27" s="1"/>
  <c r="AA26"/>
  <c r="AC26" s="1"/>
  <c r="O26"/>
  <c r="Q26" s="1"/>
  <c r="K26"/>
  <c r="M26"/>
  <c r="P27"/>
  <c r="AD27"/>
  <c r="J27"/>
  <c r="H27"/>
  <c r="AB27"/>
  <c r="T27"/>
  <c r="D27"/>
  <c r="X27"/>
  <c r="R27"/>
  <c r="AF27"/>
  <c r="Z27"/>
  <c r="AJ27"/>
  <c r="N27"/>
  <c r="F27"/>
  <c r="AP26"/>
  <c r="AH26"/>
  <c r="AH27" s="1"/>
  <c r="B28" l="1"/>
  <c r="AF28" s="1"/>
  <c r="AA27"/>
  <c r="AC27" s="1"/>
  <c r="O27"/>
  <c r="M27"/>
  <c r="K27"/>
  <c r="AD28"/>
  <c r="P28"/>
  <c r="D28"/>
  <c r="J28"/>
  <c r="H28"/>
  <c r="T28"/>
  <c r="AB28"/>
  <c r="X28"/>
  <c r="N28"/>
  <c r="AH28"/>
  <c r="AJ28"/>
  <c r="R28"/>
  <c r="V27"/>
  <c r="V28" s="1"/>
  <c r="Z28"/>
  <c r="AP27"/>
  <c r="AN27"/>
  <c r="F28"/>
  <c r="AP28" l="1"/>
  <c r="AN28"/>
  <c r="O28"/>
  <c r="Q27"/>
  <c r="B29"/>
  <c r="Z29" s="1"/>
  <c r="AA28"/>
  <c r="AC28" s="1"/>
  <c r="M28"/>
  <c r="K28"/>
  <c r="AD29"/>
  <c r="P29"/>
  <c r="J29"/>
  <c r="AB29"/>
  <c r="T29"/>
  <c r="H29"/>
  <c r="D29"/>
  <c r="X29"/>
  <c r="AJ29"/>
  <c r="AL28"/>
  <c r="AL29" s="1"/>
  <c r="V29"/>
  <c r="N29"/>
  <c r="AF29"/>
  <c r="F29"/>
  <c r="AP29" s="1"/>
  <c r="AN29" l="1"/>
  <c r="R29"/>
  <c r="AA29"/>
  <c r="AC29" s="1"/>
  <c r="M29"/>
  <c r="K29"/>
  <c r="O29"/>
  <c r="Q29" s="1"/>
  <c r="Q28"/>
  <c r="AH29"/>
</calcChain>
</file>

<file path=xl/sharedStrings.xml><?xml version="1.0" encoding="utf-8"?>
<sst xmlns="http://schemas.openxmlformats.org/spreadsheetml/2006/main" count="634" uniqueCount="246">
  <si>
    <t>хорошее</t>
  </si>
  <si>
    <t>1</t>
  </si>
  <si>
    <t>Кустарник</t>
  </si>
  <si>
    <t>удовлетворительное</t>
  </si>
  <si>
    <t>диаметр</t>
  </si>
  <si>
    <t>высота</t>
  </si>
  <si>
    <t>плохое</t>
  </si>
  <si>
    <t>ненадлежащее (аварийное)</t>
  </si>
  <si>
    <t>%</t>
  </si>
  <si>
    <t>Таблица 4</t>
  </si>
  <si>
    <t>Произведенное действие в отношении объекта растительного мира (удаление или пересадка)</t>
  </si>
  <si>
    <t>Дата удаления, пересадки объекта растительного мира</t>
  </si>
  <si>
    <t>Номер участка учета объектов растительного мира</t>
  </si>
  <si>
    <t>Учетный номер удаленного, пересаженного объекта растительного мира</t>
  </si>
  <si>
    <t>Вид (порода) удаленного, пересаженного объекта растительного мира</t>
  </si>
  <si>
    <t>Параметры удаленного, пересаженного объекта растительного мира</t>
  </si>
  <si>
    <t>Качественное состояние удаленного, пересаженного объекта растительного мира на момент его удаления, пересадки</t>
  </si>
  <si>
    <t>Основание для удаления, пересадки объекта растительного мира, в том числе дата, номер разрешения местного исполнительного и распорядительного органа</t>
  </si>
  <si>
    <t>Место пересадки объекта растительного мира, в том числе номер участка учета объектов растительного мира, на который он пересажен*</t>
  </si>
  <si>
    <t>диаметр, см</t>
  </si>
  <si>
    <t xml:space="preserve">высота, м </t>
  </si>
  <si>
    <t>ширина, м</t>
  </si>
  <si>
    <t>длина, м</t>
  </si>
  <si>
    <t>площадь, кв. м.</t>
  </si>
  <si>
    <t>Сосна</t>
  </si>
  <si>
    <t>Ель</t>
  </si>
  <si>
    <t>Дуб</t>
  </si>
  <si>
    <t>Ясень</t>
  </si>
  <si>
    <t>Клен</t>
  </si>
  <si>
    <t>Граб</t>
  </si>
  <si>
    <t>Береза</t>
  </si>
  <si>
    <t>Липа</t>
  </si>
  <si>
    <t>Осина</t>
  </si>
  <si>
    <t>Ольха</t>
  </si>
  <si>
    <t>Лиственница</t>
  </si>
  <si>
    <t>Клен серебрист, робиния</t>
  </si>
  <si>
    <t>Ива белая</t>
  </si>
  <si>
    <t>Ива козья</t>
  </si>
  <si>
    <t>Ива ломкая</t>
  </si>
  <si>
    <t>Ива остролистая</t>
  </si>
  <si>
    <t>возраст 3 кат</t>
  </si>
  <si>
    <t>высота 3 кат</t>
  </si>
  <si>
    <t>возраст 5 кат</t>
  </si>
  <si>
    <t>высота 5 кат</t>
  </si>
  <si>
    <t>возраст 3(5) кат</t>
  </si>
  <si>
    <t>высота 3(5) кат</t>
  </si>
  <si>
    <t>возраст 4 кат</t>
  </si>
  <si>
    <t>высота 4 кат</t>
  </si>
  <si>
    <t>возраст 2 кат</t>
  </si>
  <si>
    <t>высота 2 кат</t>
  </si>
  <si>
    <t>возраст</t>
  </si>
  <si>
    <t>Вид</t>
  </si>
  <si>
    <t>Высота, м</t>
  </si>
  <si>
    <t>Диаметр кроны, м</t>
  </si>
  <si>
    <t>Проекция, м2</t>
  </si>
  <si>
    <t>Возраст, лет</t>
  </si>
  <si>
    <t>Коэффициент  пр.кроны/высота</t>
  </si>
  <si>
    <t>Береза повислая</t>
  </si>
  <si>
    <t>Боярышник обыкновенный</t>
  </si>
  <si>
    <t>Вишня домашняя</t>
  </si>
  <si>
    <t>Вяз, бук, граб</t>
  </si>
  <si>
    <t>Груша</t>
  </si>
  <si>
    <t>Дуб красный</t>
  </si>
  <si>
    <t>Дуб черешчатый</t>
  </si>
  <si>
    <t>Ель колючая</t>
  </si>
  <si>
    <t>Ель обыкновенная</t>
  </si>
  <si>
    <t>Ива козья, ломкая</t>
  </si>
  <si>
    <t>Каштан конский</t>
  </si>
  <si>
    <t>Клен Гиннала</t>
  </si>
  <si>
    <t>Клен дланевидный</t>
  </si>
  <si>
    <t>Клен ложноплатановый</t>
  </si>
  <si>
    <t>Клен остролистный</t>
  </si>
  <si>
    <t>Клен серебристый</t>
  </si>
  <si>
    <t>Лиственница европейская</t>
  </si>
  <si>
    <t>Липа мелколистная</t>
  </si>
  <si>
    <t>Облепиха крушиновидная</t>
  </si>
  <si>
    <t>Ольха серая, черная</t>
  </si>
  <si>
    <t>Пихта одноцветная</t>
  </si>
  <si>
    <t>Псевдотсуга Мензиса</t>
  </si>
  <si>
    <t>Робиния</t>
  </si>
  <si>
    <t>Рябина обыкновенная</t>
  </si>
  <si>
    <t>Слива домашняя, алыча</t>
  </si>
  <si>
    <t>Тополь бальзамический</t>
  </si>
  <si>
    <t>Сосна обыкновенная, веймутова</t>
  </si>
  <si>
    <t>Черемуха обыкновенная, поздняя</t>
  </si>
  <si>
    <t>Яблоня домашняя</t>
  </si>
  <si>
    <t>Ясень обыкновенный</t>
  </si>
  <si>
    <t>Кусты</t>
  </si>
  <si>
    <t>Любые обрезанные</t>
  </si>
  <si>
    <t>Кизильник блестящий</t>
  </si>
  <si>
    <t>Лещина обыкновенная</t>
  </si>
  <si>
    <t>Можжевельник обыкновенный</t>
  </si>
  <si>
    <t>Туя западная</t>
  </si>
  <si>
    <t>Дерен белый</t>
  </si>
  <si>
    <t>Сирень обыкновенная</t>
  </si>
  <si>
    <t>Пузерыплодник калинолистный</t>
  </si>
  <si>
    <t>Роза морщинистая</t>
  </si>
  <si>
    <t>ВЕДОМОСТЬ УЧЕТА</t>
  </si>
  <si>
    <t>ОЗЕЛЕНЕННЫХ ТЕРРИТОРИЙ</t>
  </si>
  <si>
    <t>ограниченного пользования</t>
  </si>
  <si>
    <t>области</t>
  </si>
  <si>
    <t xml:space="preserve"> в</t>
  </si>
  <si>
    <t>Пользователя земельных участков (наименование юридического лица, фамилия, собственное имя индивидуального предпринимателя):</t>
  </si>
  <si>
    <t>Порядковый №</t>
  </si>
  <si>
    <t>Площадь земельного участка, га</t>
  </si>
  <si>
    <t>Всего, га</t>
  </si>
  <si>
    <t>В том числе под объектами растительного мира</t>
  </si>
  <si>
    <t>га</t>
  </si>
  <si>
    <t>Под зданиями, сооружениями, дорожно-тропиночной сетью в твердым покрытием, водными объектами, га</t>
  </si>
  <si>
    <t>Состав насаждения</t>
  </si>
  <si>
    <t>Наиманование объекта растительного мира</t>
  </si>
  <si>
    <t>Диаметр на высоте 1.2м, см (для деревьев более 8 см)</t>
  </si>
  <si>
    <t>Площадь, занятая объектом (для газонов), м2</t>
  </si>
  <si>
    <t>Количество, шт.</t>
  </si>
  <si>
    <t>Качественное состояние  объекта растительного мира</t>
  </si>
  <si>
    <t>Вид (для деревьев и кустарников); разновидность покрытия (для газонов)</t>
  </si>
  <si>
    <t>Плотность посадки (шт/га), полнота (ед.)</t>
  </si>
  <si>
    <t>Местоположение (адрес) земельного участка</t>
  </si>
  <si>
    <t>Номер учетного участка озелененной территории</t>
  </si>
  <si>
    <t>Площадь озелененной территории (учетного участка озелененной территории)</t>
  </si>
  <si>
    <t>Всего</t>
  </si>
  <si>
    <t xml:space="preserve">Плановые работы проведены с </t>
  </si>
  <si>
    <t xml:space="preserve">по </t>
  </si>
  <si>
    <t>1.1</t>
  </si>
  <si>
    <t>Информация об объектах растительного мира</t>
  </si>
  <si>
    <t>для предоставления в государственный кадастр растительного мира</t>
  </si>
  <si>
    <t>Полное наименование филиала (иного обособленного подразделения)</t>
  </si>
  <si>
    <t>Место нахождения:</t>
  </si>
  <si>
    <t>2.</t>
  </si>
  <si>
    <t>1.</t>
  </si>
  <si>
    <t>Адрес электронной почты</t>
  </si>
  <si>
    <t>Учетный номер плательщика:</t>
  </si>
  <si>
    <t>4.</t>
  </si>
  <si>
    <t>3.</t>
  </si>
  <si>
    <t>Полное наименование пользователя земельных участков :</t>
  </si>
  <si>
    <t>5.</t>
  </si>
  <si>
    <t>6.</t>
  </si>
  <si>
    <t>Телефон, контактное лицо:</t>
  </si>
  <si>
    <t>7.</t>
  </si>
  <si>
    <t>Номер на карте-схеме</t>
  </si>
  <si>
    <t>Газоны:</t>
  </si>
  <si>
    <t>паретрный</t>
  </si>
  <si>
    <t>обыкновенный (парковый)</t>
  </si>
  <si>
    <t>луговой</t>
  </si>
  <si>
    <t>мавританский</t>
  </si>
  <si>
    <t>спортивный</t>
  </si>
  <si>
    <t>специальный (откосы)</t>
  </si>
  <si>
    <t>Площадь озеленения</t>
  </si>
  <si>
    <t>Дерево</t>
  </si>
  <si>
    <t>Высота (средняя высота)</t>
  </si>
  <si>
    <t>К-т высота - проекция кроны</t>
  </si>
  <si>
    <t>Диаметр кроны</t>
  </si>
  <si>
    <t>Площадь крон</t>
  </si>
  <si>
    <t>сумма площадей проекций крон на уу</t>
  </si>
  <si>
    <t>к-во деревьев на уу</t>
  </si>
  <si>
    <t>Можжевельник казацкий</t>
  </si>
  <si>
    <t>клен</t>
  </si>
  <si>
    <t>липа</t>
  </si>
  <si>
    <t>яблоня</t>
  </si>
  <si>
    <t>ель</t>
  </si>
  <si>
    <t>Ясень пенсильванский</t>
  </si>
  <si>
    <t>Сосна обыкновенная</t>
  </si>
  <si>
    <t>Груша обыкновенная</t>
  </si>
  <si>
    <t>Виноград плодовый</t>
  </si>
  <si>
    <t>Итого</t>
  </si>
  <si>
    <t>1.2</t>
  </si>
  <si>
    <t>Минской</t>
  </si>
  <si>
    <t>2.    г. Минск, ул. Ф. Скорины, 19</t>
  </si>
  <si>
    <t>3.    г. Минск, ул. Бабушкина, 1а</t>
  </si>
  <si>
    <t>4.     Минская обл.,  Минский р-н,  Острошицко-Городокский с/с,   д.Марьяливо, пер. Высотный, 5</t>
  </si>
  <si>
    <t>Наименование района, на территории которого расположены земельные участки или водные объекты, в границах которых произрастают подлежащие учету объекты растительного мира</t>
  </si>
  <si>
    <t>7.1</t>
  </si>
  <si>
    <t>7.2</t>
  </si>
  <si>
    <t>7.3а</t>
  </si>
  <si>
    <t>озелененные территории ограниченного пользования:</t>
  </si>
  <si>
    <r>
      <t xml:space="preserve">за границами  населенных пунктов: площадь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га, в том числе под объектами растительного мира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га;</t>
    </r>
  </si>
  <si>
    <t>7.4а</t>
  </si>
  <si>
    <r>
      <t xml:space="preserve">площадь эрозионно опасных территорий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га, в том числе под насаждениями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га;</t>
    </r>
  </si>
  <si>
    <t>7.5а</t>
  </si>
  <si>
    <r>
      <t xml:space="preserve">протяженность полезащитных насаждений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км</t>
    </r>
    <r>
      <rPr>
        <sz val="14"/>
        <rFont val="Times New Roman"/>
        <family val="1"/>
        <charset val="204"/>
      </rPr>
      <t>;</t>
    </r>
  </si>
  <si>
    <t>7.6а</t>
  </si>
  <si>
    <r>
      <t xml:space="preserve">протяженность придорожных насаждений автомобильных дорог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км;</t>
    </r>
  </si>
  <si>
    <t>7.7а</t>
  </si>
  <si>
    <r>
      <t xml:space="preserve">придорожные насаждения железных дорог: протяженность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км, площадь </t>
    </r>
    <r>
      <rPr>
        <u/>
        <sz val="14"/>
        <rFont val="Times New Roman"/>
        <family val="1"/>
        <charset val="204"/>
      </rPr>
      <t xml:space="preserve">   -  </t>
    </r>
    <r>
      <rPr>
        <sz val="14"/>
        <rFont val="Times New Roman"/>
        <family val="1"/>
        <charset val="204"/>
      </rPr>
      <t xml:space="preserve">  га,</t>
    </r>
  </si>
  <si>
    <t>7.8а</t>
  </si>
  <si>
    <r>
      <t xml:space="preserve">земли запаса: площадь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га, в том числе под насаждениями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га;</t>
    </r>
  </si>
  <si>
    <t>7.9а</t>
  </si>
  <si>
    <t>7.3b</t>
  </si>
  <si>
    <t>7.4b</t>
  </si>
  <si>
    <t>7.5b</t>
  </si>
  <si>
    <t>7.6b</t>
  </si>
  <si>
    <t>7.7.b</t>
  </si>
  <si>
    <t>7.8b</t>
  </si>
  <si>
    <t>7.9b</t>
  </si>
  <si>
    <t>7.3c</t>
  </si>
  <si>
    <t>7.4c</t>
  </si>
  <si>
    <t>7.5c</t>
  </si>
  <si>
    <t>7.6c</t>
  </si>
  <si>
    <t>7.7c</t>
  </si>
  <si>
    <t>7.8c</t>
  </si>
  <si>
    <t xml:space="preserve">7.9c </t>
  </si>
  <si>
    <t>7.3d</t>
  </si>
  <si>
    <t>7.4d</t>
  </si>
  <si>
    <t>7.5d</t>
  </si>
  <si>
    <t>7.6d</t>
  </si>
  <si>
    <t>7.7d</t>
  </si>
  <si>
    <t>7.8d</t>
  </si>
  <si>
    <t xml:space="preserve">7.9d </t>
  </si>
  <si>
    <r>
      <t xml:space="preserve">озелененные территории общего пользования населенного пункта (района в городе) г. Минск, Минский р-н: площадь  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га (из них парки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га, скверы 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га, бульвары 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га, городские леса </t>
    </r>
    <r>
      <rPr>
        <u/>
        <sz val="14"/>
        <rFont val="Times New Roman"/>
        <family val="1"/>
        <charset val="204"/>
      </rPr>
      <t xml:space="preserve">    -   </t>
    </r>
    <r>
      <rPr>
        <sz val="14"/>
        <rFont val="Times New Roman"/>
        <family val="1"/>
        <charset val="204"/>
      </rPr>
      <t xml:space="preserve"> га, озелененные территории в жилой застройке </t>
    </r>
    <r>
      <rPr>
        <u/>
        <sz val="14"/>
        <rFont val="Times New Roman"/>
        <family val="1"/>
        <charset val="204"/>
      </rPr>
      <t xml:space="preserve">    -   </t>
    </r>
    <r>
      <rPr>
        <sz val="14"/>
        <rFont val="Times New Roman"/>
        <family val="1"/>
        <charset val="204"/>
      </rPr>
      <t xml:space="preserve"> га, иные озелененные территории </t>
    </r>
    <r>
      <rPr>
        <u/>
        <sz val="14"/>
        <rFont val="Times New Roman"/>
        <family val="1"/>
        <charset val="204"/>
      </rPr>
      <t xml:space="preserve">    -   </t>
    </r>
    <r>
      <rPr>
        <sz val="14"/>
        <rFont val="Times New Roman"/>
        <family val="1"/>
        <charset val="204"/>
      </rPr>
      <t xml:space="preserve"> га), в том числе под объектами растительного мира  </t>
    </r>
    <r>
      <rPr>
        <u/>
        <sz val="14"/>
        <rFont val="Times New Roman"/>
        <family val="1"/>
        <charset val="204"/>
      </rPr>
      <t xml:space="preserve">   -   </t>
    </r>
    <r>
      <rPr>
        <sz val="14"/>
        <rFont val="Times New Roman"/>
        <family val="1"/>
        <charset val="204"/>
      </rPr>
      <t xml:space="preserve"> га;</t>
    </r>
  </si>
  <si>
    <r>
      <t xml:space="preserve">Минский район , Острошицко-Городокский с/с,  д. Марьяливо, пер. Высотный, 5: площадь </t>
    </r>
    <r>
      <rPr>
        <i/>
        <u/>
        <sz val="14"/>
        <rFont val="Times New Roman"/>
        <family val="1"/>
        <charset val="204"/>
      </rPr>
      <t>0,22 га,</t>
    </r>
    <r>
      <rPr>
        <sz val="14"/>
        <rFont val="Times New Roman"/>
        <family val="1"/>
        <charset val="204"/>
      </rPr>
      <t xml:space="preserve"> в том числе под объектами растительного мира </t>
    </r>
    <r>
      <rPr>
        <i/>
        <u/>
        <sz val="14"/>
        <rFont val="Times New Roman"/>
        <family val="1"/>
        <charset val="204"/>
      </rPr>
      <t>0,15 га</t>
    </r>
    <r>
      <rPr>
        <i/>
        <sz val="14"/>
        <rFont val="Times New Roman"/>
        <family val="1"/>
        <charset val="204"/>
      </rPr>
      <t>;</t>
    </r>
  </si>
  <si>
    <r>
      <t xml:space="preserve">количество отдельных ценных деревьев  </t>
    </r>
    <r>
      <rPr>
        <u/>
        <sz val="14"/>
        <rFont val="Times New Roman"/>
        <family val="1"/>
        <charset val="204"/>
      </rPr>
      <t xml:space="preserve">  -</t>
    </r>
    <r>
      <rPr>
        <sz val="14"/>
        <rFont val="Times New Roman"/>
        <family val="1"/>
        <charset val="204"/>
      </rPr>
      <t xml:space="preserve"> шт., в т.ч., по видам: </t>
    </r>
    <r>
      <rPr>
        <i/>
        <u/>
        <sz val="14"/>
        <rFont val="Times New Roman"/>
        <family val="1"/>
        <charset val="204"/>
      </rPr>
      <t xml:space="preserve">- </t>
    </r>
    <r>
      <rPr>
        <i/>
        <sz val="14"/>
        <rFont val="Times New Roman"/>
        <family val="1"/>
        <charset val="204"/>
      </rPr>
      <t>шт.</t>
    </r>
  </si>
  <si>
    <t>г. Минск</t>
  </si>
  <si>
    <t xml:space="preserve"> г. Минск, ул. Брест-Литовская, 9</t>
  </si>
  <si>
    <t>Вишня обыкновенная</t>
  </si>
  <si>
    <t>Клен ясенелистный</t>
  </si>
  <si>
    <t>Яблоня садовая</t>
  </si>
  <si>
    <t>Газоны</t>
  </si>
  <si>
    <t>г. Минск, пер. Стекольный, 5</t>
  </si>
  <si>
    <t>7 и 8</t>
  </si>
  <si>
    <t>13-19</t>
  </si>
  <si>
    <t>23-25</t>
  </si>
  <si>
    <t>34-38</t>
  </si>
  <si>
    <t xml:space="preserve">Дейция </t>
  </si>
  <si>
    <t xml:space="preserve">к1 </t>
  </si>
  <si>
    <t>к2-4</t>
  </si>
  <si>
    <t>Колквиция прелестная</t>
  </si>
  <si>
    <t>к5</t>
  </si>
  <si>
    <t>к6</t>
  </si>
  <si>
    <t>к7</t>
  </si>
  <si>
    <t xml:space="preserve">Учет производил специалист </t>
  </si>
  <si>
    <t>Ерилин Г.Н.</t>
  </si>
  <si>
    <t xml:space="preserve">Республиканское унитарное предприятие «Главный расчётный информационный центр» </t>
  </si>
  <si>
    <t>Белоруской железной дороги</t>
  </si>
  <si>
    <r>
      <t xml:space="preserve">Составил специалист     </t>
    </r>
    <r>
      <rPr>
        <b/>
        <i/>
        <sz val="14"/>
        <rFont val="Times New Roman"/>
        <family val="1"/>
        <charset val="204"/>
      </rPr>
      <t>Г.Н. Ерилин  ________</t>
    </r>
  </si>
  <si>
    <t>-</t>
  </si>
  <si>
    <t xml:space="preserve"> </t>
  </si>
  <si>
    <t>100016949</t>
  </si>
  <si>
    <t xml:space="preserve">г. Минск </t>
  </si>
  <si>
    <r>
      <t xml:space="preserve">в </t>
    </r>
    <r>
      <rPr>
        <i/>
        <u/>
        <sz val="14"/>
        <rFont val="Times New Roman"/>
        <family val="1"/>
        <charset val="204"/>
      </rPr>
      <t>г. Минск, ул.Брест-Литовская, 9</t>
    </r>
    <r>
      <rPr>
        <sz val="14"/>
        <rFont val="Times New Roman"/>
        <family val="1"/>
        <charset val="204"/>
      </rPr>
      <t xml:space="preserve">: площадь </t>
    </r>
    <r>
      <rPr>
        <i/>
        <u/>
        <sz val="14"/>
        <rFont val="Times New Roman"/>
        <family val="1"/>
        <charset val="204"/>
      </rPr>
      <t>0,21 га,</t>
    </r>
    <r>
      <rPr>
        <sz val="14"/>
        <rFont val="Times New Roman"/>
        <family val="1"/>
        <charset val="204"/>
      </rPr>
      <t xml:space="preserve"> в том числе под объектами растительного мира </t>
    </r>
    <r>
      <rPr>
        <i/>
        <u/>
        <sz val="14"/>
        <rFont val="Times New Roman"/>
        <family val="1"/>
        <charset val="204"/>
      </rPr>
      <t>0,1 га</t>
    </r>
    <r>
      <rPr>
        <i/>
        <sz val="14"/>
        <rFont val="Times New Roman"/>
        <family val="1"/>
        <charset val="204"/>
      </rPr>
      <t>;</t>
    </r>
  </si>
  <si>
    <t>(8-017) 225-50-52, эколог</t>
  </si>
  <si>
    <r>
      <t xml:space="preserve">общая площадь земельных участков или водных объектов </t>
    </r>
    <r>
      <rPr>
        <i/>
        <u/>
        <sz val="14"/>
        <rFont val="Times New Roman"/>
        <family val="1"/>
        <charset val="204"/>
      </rPr>
      <t>0,6301 га</t>
    </r>
  </si>
  <si>
    <r>
      <t xml:space="preserve">в </t>
    </r>
    <r>
      <rPr>
        <i/>
        <u/>
        <sz val="14"/>
        <rFont val="Times New Roman"/>
        <family val="1"/>
        <charset val="204"/>
      </rPr>
      <t>г. Минск, ул. Брест-Литовская, 9</t>
    </r>
    <r>
      <rPr>
        <sz val="14"/>
        <rFont val="Times New Roman"/>
        <family val="1"/>
        <charset val="204"/>
      </rPr>
      <t xml:space="preserve">: площадь </t>
    </r>
    <r>
      <rPr>
        <i/>
        <u/>
        <sz val="14"/>
        <rFont val="Times New Roman"/>
        <family val="1"/>
        <charset val="204"/>
      </rPr>
      <t>0,9 га,</t>
    </r>
    <r>
      <rPr>
        <sz val="14"/>
        <rFont val="Times New Roman"/>
        <family val="1"/>
        <charset val="204"/>
      </rPr>
      <t xml:space="preserve"> в том числе под объектами растительного мира </t>
    </r>
    <r>
      <rPr>
        <i/>
        <u/>
        <sz val="14"/>
        <rFont val="Times New Roman"/>
        <family val="1"/>
        <charset val="204"/>
      </rPr>
      <t>0,27 га</t>
    </r>
    <r>
      <rPr>
        <i/>
        <sz val="14"/>
        <rFont val="Times New Roman"/>
        <family val="1"/>
        <charset val="204"/>
      </rPr>
      <t>;</t>
    </r>
  </si>
  <si>
    <r>
      <t xml:space="preserve">в </t>
    </r>
    <r>
      <rPr>
        <i/>
        <u/>
        <sz val="14"/>
        <rFont val="Times New Roman"/>
        <family val="1"/>
        <charset val="204"/>
      </rPr>
      <t>г. Минск, пер. Стекольный, 5</t>
    </r>
    <r>
      <rPr>
        <sz val="14"/>
        <rFont val="Times New Roman"/>
        <family val="1"/>
        <charset val="204"/>
      </rPr>
      <t>: площадь</t>
    </r>
    <r>
      <rPr>
        <i/>
        <sz val="14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>0,09 га,</t>
    </r>
    <r>
      <rPr>
        <sz val="14"/>
        <rFont val="Times New Roman"/>
        <family val="1"/>
        <charset val="204"/>
      </rPr>
      <t xml:space="preserve"> в том числе под объектами растительного мира </t>
    </r>
    <r>
      <rPr>
        <i/>
        <u/>
        <sz val="14"/>
        <rFont val="Times New Roman"/>
        <family val="1"/>
        <charset val="204"/>
      </rPr>
      <t>0,02 га</t>
    </r>
    <r>
      <rPr>
        <i/>
        <sz val="14"/>
        <rFont val="Times New Roman"/>
        <family val="1"/>
        <charset val="204"/>
      </rPr>
      <t>;</t>
    </r>
  </si>
  <si>
    <r>
      <t xml:space="preserve">количество отдельных ценных деревьев  </t>
    </r>
    <r>
      <rPr>
        <u/>
        <sz val="14"/>
        <rFont val="Times New Roman"/>
        <family val="1"/>
        <charset val="204"/>
      </rPr>
      <t xml:space="preserve"> - </t>
    </r>
    <r>
      <rPr>
        <sz val="14"/>
        <rFont val="Times New Roman"/>
        <family val="1"/>
        <charset val="204"/>
      </rPr>
      <t xml:space="preserve"> шт., в т.ч., по видам:</t>
    </r>
    <r>
      <rPr>
        <i/>
        <u/>
        <sz val="14"/>
        <rFont val="Times New Roman"/>
        <family val="1"/>
        <charset val="204"/>
      </rPr>
      <t xml:space="preserve"> -</t>
    </r>
    <r>
      <rPr>
        <u/>
        <sz val="14"/>
        <rFont val="Times New Roman"/>
        <family val="1"/>
        <charset val="204"/>
      </rPr>
      <t xml:space="preserve"> шт.</t>
    </r>
  </si>
  <si>
    <r>
      <t xml:space="preserve">количество отдельных ценных деревьев  </t>
    </r>
    <r>
      <rPr>
        <u/>
        <sz val="14"/>
        <rFont val="Times New Roman"/>
        <family val="1"/>
        <charset val="204"/>
      </rPr>
      <t xml:space="preserve">  - </t>
    </r>
    <r>
      <rPr>
        <sz val="14"/>
        <rFont val="Times New Roman"/>
        <family val="1"/>
        <charset val="204"/>
      </rPr>
      <t xml:space="preserve">, в т.ч., по видам: </t>
    </r>
    <r>
      <rPr>
        <u/>
        <sz val="14"/>
        <rFont val="Times New Roman"/>
        <family val="1"/>
        <charset val="204"/>
      </rPr>
      <t xml:space="preserve">  - шт.</t>
    </r>
  </si>
  <si>
    <r>
      <t xml:space="preserve">количество отдельных ценных деревьев  </t>
    </r>
    <r>
      <rPr>
        <i/>
        <u/>
        <sz val="14"/>
        <rFont val="Times New Roman"/>
        <family val="1"/>
        <charset val="204"/>
      </rPr>
      <t xml:space="preserve"> - </t>
    </r>
    <r>
      <rPr>
        <sz val="14"/>
        <rFont val="Times New Roman"/>
        <family val="1"/>
        <charset val="204"/>
      </rPr>
      <t xml:space="preserve"> шт., в т.ч., по видам:  </t>
    </r>
    <r>
      <rPr>
        <i/>
        <u/>
        <sz val="14"/>
        <rFont val="Times New Roman"/>
        <family val="1"/>
        <charset val="204"/>
      </rPr>
      <t xml:space="preserve">- </t>
    </r>
    <r>
      <rPr>
        <u/>
        <sz val="14"/>
        <rFont val="Times New Roman"/>
        <family val="1"/>
        <charset val="204"/>
      </rPr>
      <t xml:space="preserve"> шт.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</si>
</sst>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000"/>
  </numFmts>
  <fonts count="4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0"/>
      <color indexed="10"/>
      <name val="Arial Cyr"/>
      <charset val="204"/>
    </font>
    <font>
      <sz val="8"/>
      <name val="Arial CYR"/>
      <charset val="204"/>
    </font>
    <font>
      <b/>
      <sz val="16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u/>
      <sz val="14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2060"/>
      <name val="Calibri"/>
      <family val="2"/>
      <charset val="204"/>
      <scheme val="minor"/>
    </font>
    <font>
      <sz val="15.4"/>
      <color rgb="FF000000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b/>
      <i/>
      <sz val="9"/>
      <color rgb="FF0070C0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0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4">
    <xf numFmtId="0" fontId="0" fillId="0" borderId="0" xfId="0"/>
    <xf numFmtId="0" fontId="7" fillId="0" borderId="0" xfId="0" applyFont="1"/>
    <xf numFmtId="0" fontId="2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6" fillId="0" borderId="0" xfId="0" applyFont="1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/>
    <xf numFmtId="0" fontId="18" fillId="0" borderId="0" xfId="0" applyFont="1"/>
    <xf numFmtId="0" fontId="2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18" fillId="0" borderId="19" xfId="0" applyFont="1" applyBorder="1"/>
    <xf numFmtId="0" fontId="18" fillId="0" borderId="20" xfId="0" applyFont="1" applyBorder="1" applyAlignment="1">
      <alignment horizontal="left"/>
    </xf>
    <xf numFmtId="0" fontId="18" fillId="0" borderId="21" xfId="0" applyFont="1" applyBorder="1"/>
    <xf numFmtId="0" fontId="2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left"/>
    </xf>
    <xf numFmtId="0" fontId="18" fillId="0" borderId="23" xfId="0" applyFont="1" applyBorder="1"/>
    <xf numFmtId="0" fontId="2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left"/>
    </xf>
    <xf numFmtId="0" fontId="18" fillId="0" borderId="25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4" xfId="0" applyFont="1" applyBorder="1"/>
    <xf numFmtId="0" fontId="18" fillId="0" borderId="25" xfId="0" applyFont="1" applyBorder="1"/>
    <xf numFmtId="0" fontId="18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/>
    <xf numFmtId="0" fontId="23" fillId="0" borderId="30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164" fontId="23" fillId="0" borderId="28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3" fillId="0" borderId="33" xfId="0" applyNumberFormat="1" applyFont="1" applyBorder="1" applyAlignment="1">
      <alignment horizontal="center"/>
    </xf>
    <xf numFmtId="164" fontId="23" fillId="0" borderId="32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23" fillId="0" borderId="31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64" fontId="23" fillId="0" borderId="36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164" fontId="23" fillId="0" borderId="39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64" fontId="23" fillId="0" borderId="42" xfId="0" applyNumberFormat="1" applyFont="1" applyBorder="1" applyAlignment="1">
      <alignment horizontal="center"/>
    </xf>
    <xf numFmtId="0" fontId="2" fillId="0" borderId="39" xfId="0" applyFont="1" applyBorder="1"/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164" fontId="23" fillId="0" borderId="41" xfId="0" applyNumberFormat="1" applyFont="1" applyBorder="1" applyAlignment="1">
      <alignment horizontal="center"/>
    </xf>
    <xf numFmtId="164" fontId="23" fillId="0" borderId="40" xfId="0" applyNumberFormat="1" applyFont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 indent="2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20" fillId="0" borderId="0" xfId="0" applyFont="1" applyFill="1"/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right" indent="2"/>
    </xf>
    <xf numFmtId="164" fontId="0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4" fontId="24" fillId="0" borderId="0" xfId="0" applyNumberFormat="1" applyFont="1" applyFill="1" applyAlignment="1">
      <alignment horizontal="right" indent="2"/>
    </xf>
    <xf numFmtId="164" fontId="24" fillId="0" borderId="0" xfId="0" applyNumberFormat="1" applyFont="1" applyFill="1" applyAlignment="1">
      <alignment horizontal="center"/>
    </xf>
    <xf numFmtId="2" fontId="24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/>
    <xf numFmtId="0" fontId="26" fillId="0" borderId="0" xfId="0" applyFont="1" applyFill="1" applyAlignment="1">
      <alignment horizontal="center"/>
    </xf>
    <xf numFmtId="164" fontId="26" fillId="0" borderId="0" xfId="0" applyNumberFormat="1" applyFont="1" applyFill="1" applyAlignment="1">
      <alignment horizontal="right" indent="2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/>
    </xf>
    <xf numFmtId="164" fontId="20" fillId="0" borderId="0" xfId="0" applyNumberFormat="1" applyFont="1" applyFill="1" applyAlignment="1">
      <alignment horizontal="right" indent="2"/>
    </xf>
    <xf numFmtId="2" fontId="27" fillId="0" borderId="0" xfId="0" applyNumberFormat="1" applyFont="1" applyFill="1" applyAlignment="1">
      <alignment horizontal="center"/>
    </xf>
    <xf numFmtId="2" fontId="28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right" indent="2"/>
    </xf>
    <xf numFmtId="0" fontId="6" fillId="0" borderId="0" xfId="0" applyFont="1" applyAlignment="1"/>
    <xf numFmtId="0" fontId="9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6" fillId="0" borderId="0" xfId="0" applyFont="1" applyFill="1" applyAlignment="1"/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3" fillId="0" borderId="0" xfId="0" applyFont="1" applyFill="1" applyAlignment="1"/>
    <xf numFmtId="0" fontId="0" fillId="0" borderId="0" xfId="0" applyFill="1" applyAlignment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3" fontId="0" fillId="0" borderId="0" xfId="0" applyNumberFormat="1"/>
    <xf numFmtId="1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0" fontId="18" fillId="0" borderId="16" xfId="0" applyNumberFormat="1" applyFont="1" applyBorder="1" applyAlignment="1">
      <alignment horizontal="center" vertical="center"/>
    </xf>
    <xf numFmtId="0" fontId="12" fillId="0" borderId="0" xfId="0" applyFont="1"/>
    <xf numFmtId="49" fontId="2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9" fillId="0" borderId="0" xfId="0" applyFont="1" applyFill="1" applyAlignment="1"/>
    <xf numFmtId="0" fontId="3" fillId="0" borderId="0" xfId="0" applyFont="1" applyAlignment="1">
      <alignment horizontal="right" vertical="center"/>
    </xf>
    <xf numFmtId="0" fontId="32" fillId="0" borderId="0" xfId="0" applyFont="1" applyAlignment="1">
      <alignment horizontal="right"/>
    </xf>
    <xf numFmtId="3" fontId="5" fillId="0" borderId="43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left" vertical="center"/>
    </xf>
    <xf numFmtId="0" fontId="29" fillId="0" borderId="0" xfId="0" applyFont="1"/>
    <xf numFmtId="0" fontId="3" fillId="0" borderId="0" xfId="0" applyFont="1" applyFill="1" applyAlignment="1"/>
    <xf numFmtId="0" fontId="0" fillId="0" borderId="0" xfId="0" applyFill="1" applyAlignment="1"/>
    <xf numFmtId="14" fontId="34" fillId="0" borderId="0" xfId="0" applyNumberFormat="1" applyFont="1" applyBorder="1" applyAlignment="1">
      <alignment horizontal="center" vertical="center" wrapText="1"/>
    </xf>
    <xf numFmtId="0" fontId="0" fillId="0" borderId="0" xfId="0"/>
    <xf numFmtId="0" fontId="4" fillId="0" borderId="4" xfId="0" applyFont="1" applyBorder="1" applyAlignment="1">
      <alignment horizontal="center" vertical="center" textRotation="90" wrapText="1"/>
    </xf>
    <xf numFmtId="0" fontId="17" fillId="0" borderId="0" xfId="0" applyFont="1"/>
    <xf numFmtId="1" fontId="2" fillId="0" borderId="1" xfId="0" applyNumberFormat="1" applyFont="1" applyBorder="1" applyAlignment="1">
      <alignment vertical="center"/>
    </xf>
    <xf numFmtId="14" fontId="17" fillId="0" borderId="43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5" fillId="0" borderId="10" xfId="0" applyFont="1" applyBorder="1" applyAlignment="1"/>
    <xf numFmtId="0" fontId="4" fillId="0" borderId="45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textRotation="90" wrapText="1"/>
    </xf>
    <xf numFmtId="3" fontId="5" fillId="0" borderId="56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left" vertical="center"/>
    </xf>
    <xf numFmtId="0" fontId="0" fillId="0" borderId="0" xfId="0"/>
    <xf numFmtId="1" fontId="2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49" xfId="0" applyNumberFormat="1" applyFont="1" applyFill="1" applyBorder="1" applyAlignment="1">
      <alignment vertical="center"/>
    </xf>
    <xf numFmtId="0" fontId="0" fillId="0" borderId="53" xfId="0" applyFill="1" applyBorder="1"/>
    <xf numFmtId="164" fontId="2" fillId="0" borderId="53" xfId="0" applyNumberFormat="1" applyFont="1" applyFill="1" applyBorder="1" applyAlignment="1">
      <alignment horizontal="right" vertical="center"/>
    </xf>
    <xf numFmtId="0" fontId="29" fillId="0" borderId="0" xfId="0" applyFont="1" applyFill="1"/>
    <xf numFmtId="164" fontId="29" fillId="0" borderId="0" xfId="0" applyNumberFormat="1" applyFont="1" applyFill="1"/>
    <xf numFmtId="4" fontId="18" fillId="0" borderId="16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1" fontId="18" fillId="0" borderId="16" xfId="0" applyNumberFormat="1" applyFont="1" applyBorder="1" applyAlignment="1">
      <alignment vertical="center"/>
    </xf>
    <xf numFmtId="164" fontId="18" fillId="0" borderId="16" xfId="0" applyNumberFormat="1" applyFont="1" applyFill="1" applyBorder="1" applyAlignment="1" applyProtection="1">
      <alignment horizontal="left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0" fontId="18" fillId="0" borderId="16" xfId="0" applyNumberFormat="1" applyFont="1" applyBorder="1" applyAlignment="1">
      <alignment horizontal="left" vertical="center" wrapText="1"/>
    </xf>
    <xf numFmtId="1" fontId="0" fillId="0" borderId="0" xfId="0" applyNumberFormat="1"/>
    <xf numFmtId="164" fontId="0" fillId="0" borderId="0" xfId="0" applyNumberFormat="1" applyFill="1"/>
    <xf numFmtId="0" fontId="4" fillId="0" borderId="58" xfId="0" applyFont="1" applyBorder="1" applyAlignment="1">
      <alignment horizontal="center" vertical="center" textRotation="90" wrapText="1"/>
    </xf>
    <xf numFmtId="3" fontId="5" fillId="0" borderId="59" xfId="0" applyNumberFormat="1" applyFont="1" applyBorder="1" applyAlignment="1">
      <alignment horizontal="center"/>
    </xf>
    <xf numFmtId="1" fontId="2" fillId="0" borderId="60" xfId="0" applyNumberFormat="1" applyFont="1" applyFill="1" applyBorder="1" applyAlignment="1">
      <alignment horizontal="center" vertical="center"/>
    </xf>
    <xf numFmtId="1" fontId="2" fillId="0" borderId="61" xfId="0" applyNumberFormat="1" applyFont="1" applyFill="1" applyBorder="1" applyAlignment="1">
      <alignment horizontal="center" vertical="center"/>
    </xf>
    <xf numFmtId="1" fontId="2" fillId="0" borderId="61" xfId="0" applyNumberFormat="1" applyFont="1" applyBorder="1" applyAlignment="1">
      <alignment horizontal="center" vertical="center"/>
    </xf>
    <xf numFmtId="1" fontId="17" fillId="0" borderId="59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164" fontId="2" fillId="0" borderId="49" xfId="0" applyNumberFormat="1" applyFont="1" applyFill="1" applyBorder="1" applyAlignment="1">
      <alignment horizontal="left" vertical="center"/>
    </xf>
    <xf numFmtId="0" fontId="2" fillId="0" borderId="50" xfId="0" applyNumberFormat="1" applyFont="1" applyBorder="1" applyAlignment="1">
      <alignment vertical="top" wrapText="1"/>
    </xf>
    <xf numFmtId="0" fontId="0" fillId="0" borderId="0" xfId="0"/>
    <xf numFmtId="0" fontId="6" fillId="0" borderId="0" xfId="0" applyFont="1" applyAlignment="1"/>
    <xf numFmtId="0" fontId="0" fillId="0" borderId="0" xfId="0"/>
    <xf numFmtId="0" fontId="30" fillId="0" borderId="47" xfId="0" applyFont="1" applyFill="1" applyBorder="1" applyAlignment="1">
      <alignment vertical="top"/>
    </xf>
    <xf numFmtId="0" fontId="30" fillId="0" borderId="48" xfId="0" applyFont="1" applyFill="1" applyBorder="1" applyAlignment="1">
      <alignment vertical="top"/>
    </xf>
    <xf numFmtId="1" fontId="2" fillId="0" borderId="4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4" fontId="17" fillId="0" borderId="64" xfId="0" applyNumberFormat="1" applyFont="1" applyBorder="1" applyAlignment="1">
      <alignment horizontal="center" vertical="center"/>
    </xf>
    <xf numFmtId="0" fontId="18" fillId="0" borderId="4" xfId="0" applyNumberFormat="1" applyFont="1" applyBorder="1" applyAlignment="1">
      <alignment horizontal="left" vertical="center" wrapText="1"/>
    </xf>
    <xf numFmtId="2" fontId="17" fillId="0" borderId="4" xfId="0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vertical="center"/>
    </xf>
    <xf numFmtId="164" fontId="18" fillId="0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0" fillId="0" borderId="0" xfId="0" applyNumberFormat="1"/>
    <xf numFmtId="14" fontId="17" fillId="0" borderId="62" xfId="0" applyNumberFormat="1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vertical="center"/>
    </xf>
    <xf numFmtId="164" fontId="18" fillId="0" borderId="2" xfId="0" applyNumberFormat="1" applyFont="1" applyFill="1" applyBorder="1" applyAlignment="1" applyProtection="1">
      <alignment horizontal="left" vertical="center"/>
      <protection locked="0"/>
    </xf>
    <xf numFmtId="3" fontId="18" fillId="0" borderId="2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top" wrapText="1"/>
    </xf>
    <xf numFmtId="4" fontId="2" fillId="0" borderId="50" xfId="0" applyNumberFormat="1" applyFont="1" applyBorder="1" applyAlignment="1">
      <alignment horizontal="center" vertical="top"/>
    </xf>
    <xf numFmtId="0" fontId="32" fillId="0" borderId="0" xfId="0" applyNumberFormat="1" applyFont="1" applyFill="1" applyAlignment="1">
      <alignment horizontal="right" vertical="top"/>
    </xf>
    <xf numFmtId="49" fontId="32" fillId="0" borderId="0" xfId="0" applyNumberFormat="1" applyFont="1" applyFill="1" applyAlignment="1">
      <alignment horizontal="right" vertical="top"/>
    </xf>
    <xf numFmtId="166" fontId="18" fillId="0" borderId="2" xfId="0" applyNumberFormat="1" applyFont="1" applyBorder="1" applyAlignment="1">
      <alignment horizontal="center" vertical="center"/>
    </xf>
    <xf numFmtId="0" fontId="2" fillId="0" borderId="49" xfId="0" applyNumberFormat="1" applyFont="1" applyBorder="1" applyAlignment="1">
      <alignment vertical="top" wrapText="1"/>
    </xf>
    <xf numFmtId="49" fontId="2" fillId="0" borderId="49" xfId="0" applyNumberFormat="1" applyFont="1" applyBorder="1" applyAlignment="1">
      <alignment horizontal="center" vertical="top" wrapText="1"/>
    </xf>
    <xf numFmtId="4" fontId="2" fillId="0" borderId="49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vertical="center"/>
    </xf>
    <xf numFmtId="164" fontId="2" fillId="0" borderId="3" xfId="0" applyNumberFormat="1" applyFont="1" applyFill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0" xfId="0" applyNumberFormat="1" applyFont="1" applyBorder="1" applyAlignment="1">
      <alignment horizontal="center" vertical="center"/>
    </xf>
    <xf numFmtId="1" fontId="17" fillId="0" borderId="58" xfId="0" applyNumberFormat="1" applyFont="1" applyBorder="1" applyAlignment="1">
      <alignment horizontal="center" vertical="center"/>
    </xf>
    <xf numFmtId="1" fontId="17" fillId="0" borderId="63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6" fillId="0" borderId="0" xfId="0" applyFont="1" applyAlignment="1"/>
    <xf numFmtId="0" fontId="0" fillId="0" borderId="0" xfId="0"/>
    <xf numFmtId="0" fontId="6" fillId="0" borderId="0" xfId="0" applyFont="1" applyFill="1" applyAlignment="1">
      <alignment horizontal="left" vertical="top" wrapText="1"/>
    </xf>
    <xf numFmtId="0" fontId="0" fillId="0" borderId="0" xfId="0"/>
    <xf numFmtId="0" fontId="0" fillId="0" borderId="0" xfId="0"/>
    <xf numFmtId="0" fontId="6" fillId="0" borderId="0" xfId="0" applyFont="1" applyFill="1" applyAlignment="1"/>
    <xf numFmtId="0" fontId="2" fillId="0" borderId="49" xfId="0" applyNumberFormat="1" applyFont="1" applyBorder="1" applyAlignment="1">
      <alignment horizontal="center" vertical="top" wrapText="1"/>
    </xf>
    <xf numFmtId="0" fontId="2" fillId="0" borderId="50" xfId="0" applyNumberFormat="1" applyFont="1" applyBorder="1" applyAlignment="1">
      <alignment horizontal="center" vertical="top" wrapText="1"/>
    </xf>
    <xf numFmtId="4" fontId="2" fillId="0" borderId="49" xfId="0" applyNumberFormat="1" applyFont="1" applyFill="1" applyBorder="1" applyAlignment="1">
      <alignment horizontal="center" vertical="top"/>
    </xf>
    <xf numFmtId="4" fontId="2" fillId="0" borderId="5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36" fillId="0" borderId="10" xfId="0" applyFont="1" applyBorder="1" applyAlignment="1"/>
    <xf numFmtId="0" fontId="37" fillId="0" borderId="46" xfId="0" applyFont="1" applyBorder="1" applyAlignment="1">
      <alignment vertical="center" wrapText="1"/>
    </xf>
    <xf numFmtId="3" fontId="38" fillId="0" borderId="44" xfId="0" applyNumberFormat="1" applyFont="1" applyBorder="1" applyAlignment="1">
      <alignment horizontal="center"/>
    </xf>
    <xf numFmtId="1" fontId="39" fillId="0" borderId="57" xfId="0" applyNumberFormat="1" applyFont="1" applyFill="1" applyBorder="1" applyAlignment="1">
      <alignment horizontal="center" vertical="center"/>
    </xf>
    <xf numFmtId="0" fontId="40" fillId="0" borderId="0" xfId="0" applyFont="1"/>
    <xf numFmtId="1" fontId="39" fillId="0" borderId="0" xfId="0" applyNumberFormat="1" applyFont="1" applyBorder="1" applyAlignment="1">
      <alignment horizontal="center" vertical="center"/>
    </xf>
    <xf numFmtId="1" fontId="17" fillId="0" borderId="52" xfId="0" applyNumberFormat="1" applyFont="1" applyBorder="1" applyAlignment="1">
      <alignment vertical="center"/>
    </xf>
    <xf numFmtId="164" fontId="17" fillId="0" borderId="4" xfId="0" applyNumberFormat="1" applyFont="1" applyFill="1" applyBorder="1" applyAlignment="1" applyProtection="1">
      <alignment horizontal="left" vertical="center"/>
      <protection locked="0"/>
    </xf>
    <xf numFmtId="1" fontId="2" fillId="2" borderId="1" xfId="0" applyNumberFormat="1" applyFont="1" applyFill="1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2" fillId="0" borderId="49" xfId="0" applyNumberFormat="1" applyFont="1" applyBorder="1" applyAlignment="1">
      <alignment horizontal="center" vertical="top" wrapText="1"/>
    </xf>
    <xf numFmtId="0" fontId="2" fillId="0" borderId="50" xfId="0" applyNumberFormat="1" applyFont="1" applyBorder="1" applyAlignment="1">
      <alignment horizontal="center" vertical="top" wrapText="1"/>
    </xf>
    <xf numFmtId="4" fontId="2" fillId="0" borderId="49" xfId="0" applyNumberFormat="1" applyFont="1" applyFill="1" applyBorder="1" applyAlignment="1">
      <alignment horizontal="center" vertical="top"/>
    </xf>
    <xf numFmtId="4" fontId="2" fillId="0" borderId="50" xfId="0" applyNumberFormat="1" applyFont="1" applyFill="1" applyBorder="1" applyAlignment="1">
      <alignment horizontal="center" vertical="top"/>
    </xf>
    <xf numFmtId="0" fontId="16" fillId="0" borderId="0" xfId="0" applyFont="1" applyAlignment="1"/>
    <xf numFmtId="0" fontId="6" fillId="0" borderId="0" xfId="0" applyFont="1" applyAlignment="1"/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/>
    <xf numFmtId="0" fontId="6" fillId="0" borderId="0" xfId="0" applyFont="1" applyFill="1" applyAlignment="1"/>
    <xf numFmtId="0" fontId="2" fillId="0" borderId="49" xfId="0" applyNumberFormat="1" applyFont="1" applyBorder="1" applyAlignment="1">
      <alignment horizontal="center" vertical="top" wrapText="1"/>
    </xf>
    <xf numFmtId="0" fontId="2" fillId="0" borderId="50" xfId="0" applyNumberFormat="1" applyFont="1" applyBorder="1" applyAlignment="1">
      <alignment horizontal="center" vertical="top" wrapText="1"/>
    </xf>
    <xf numFmtId="4" fontId="2" fillId="0" borderId="49" xfId="0" applyNumberFormat="1" applyFont="1" applyFill="1" applyBorder="1" applyAlignment="1">
      <alignment horizontal="center" vertical="top"/>
    </xf>
    <xf numFmtId="4" fontId="2" fillId="0" borderId="50" xfId="0" applyNumberFormat="1" applyFont="1" applyFill="1" applyBorder="1" applyAlignment="1">
      <alignment horizontal="center" vertical="top"/>
    </xf>
    <xf numFmtId="0" fontId="13" fillId="0" borderId="0" xfId="0" applyNumberFormat="1" applyFont="1" applyBorder="1" applyAlignment="1">
      <alignment horizontal="left" vertical="center" wrapText="1"/>
    </xf>
    <xf numFmtId="0" fontId="15" fillId="0" borderId="10" xfId="0" applyFont="1" applyBorder="1" applyAlignment="1">
      <alignment horizontal="right"/>
    </xf>
    <xf numFmtId="49" fontId="4" fillId="0" borderId="49" xfId="0" applyNumberFormat="1" applyFont="1" applyBorder="1" applyAlignment="1">
      <alignment horizontal="center" vertical="center" textRotation="90" wrapText="1"/>
    </xf>
    <xf numFmtId="0" fontId="0" fillId="0" borderId="5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 textRotation="90" wrapText="1"/>
    </xf>
    <xf numFmtId="49" fontId="4" fillId="0" borderId="48" xfId="0" applyNumberFormat="1" applyFont="1" applyBorder="1" applyAlignment="1">
      <alignment horizontal="center" vertical="center" textRotation="90" wrapText="1"/>
    </xf>
    <xf numFmtId="49" fontId="4" fillId="0" borderId="43" xfId="0" applyNumberFormat="1" applyFont="1" applyBorder="1" applyAlignment="1">
      <alignment horizontal="center" vertical="center" textRotation="90" wrapText="1"/>
    </xf>
    <xf numFmtId="0" fontId="4" fillId="0" borderId="52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49" fontId="4" fillId="0" borderId="50" xfId="0" applyNumberFormat="1" applyFont="1" applyBorder="1" applyAlignment="1">
      <alignment horizontal="center" vertical="center" textRotation="90" wrapText="1"/>
    </xf>
    <xf numFmtId="49" fontId="4" fillId="0" borderId="16" xfId="0" applyNumberFormat="1" applyFont="1" applyBorder="1" applyAlignment="1">
      <alignment horizontal="center" vertical="center" textRotation="90" wrapText="1"/>
    </xf>
    <xf numFmtId="49" fontId="4" fillId="0" borderId="14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 textRotation="90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textRotation="90" wrapText="1"/>
    </xf>
    <xf numFmtId="0" fontId="4" fillId="0" borderId="55" xfId="0" applyFont="1" applyBorder="1" applyAlignment="1">
      <alignment horizontal="center" vertical="center" textRotation="90" wrapText="1"/>
    </xf>
    <xf numFmtId="0" fontId="37" fillId="0" borderId="17" xfId="0" applyFont="1" applyBorder="1" applyAlignment="1">
      <alignment horizontal="center" vertical="center" textRotation="90" wrapText="1"/>
    </xf>
    <xf numFmtId="0" fontId="37" fillId="0" borderId="44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2" fillId="0" borderId="0" xfId="0" applyFont="1" applyFill="1" applyAlignment="1">
      <alignment horizontal="left" vertical="top" wrapText="1"/>
    </xf>
    <xf numFmtId="49" fontId="6" fillId="0" borderId="0" xfId="0" applyNumberFormat="1" applyFont="1" applyFill="1" applyAlignment="1">
      <alignment horizontal="left" vertical="top" wrapText="1"/>
    </xf>
    <xf numFmtId="49" fontId="33" fillId="0" borderId="0" xfId="0" applyNumberFormat="1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6" fillId="0" borderId="0" xfId="0" applyFont="1" applyFill="1" applyAlignment="1">
      <alignment horizontal="left" vertical="top" wrapText="1"/>
    </xf>
    <xf numFmtId="0" fontId="17" fillId="0" borderId="5" xfId="0" applyFont="1" applyBorder="1" applyAlignment="1">
      <alignment horizontal="center" vertical="center" textRotation="90" wrapText="1"/>
    </xf>
    <xf numFmtId="0" fontId="17" fillId="0" borderId="15" xfId="0" applyFont="1" applyBorder="1" applyAlignment="1">
      <alignment horizontal="center" vertical="center" textRotation="90" wrapText="1"/>
    </xf>
    <xf numFmtId="0" fontId="13" fillId="0" borderId="0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49" fontId="17" fillId="0" borderId="5" xfId="0" applyNumberFormat="1" applyFont="1" applyBorder="1" applyAlignment="1">
      <alignment horizontal="center" vertical="center" textRotation="90" wrapText="1"/>
    </xf>
    <xf numFmtId="49" fontId="17" fillId="0" borderId="15" xfId="0" applyNumberFormat="1" applyFont="1" applyBorder="1" applyAlignment="1">
      <alignment horizontal="center" vertical="center" textRotation="90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/>
    </xf>
    <xf numFmtId="1" fontId="2" fillId="0" borderId="53" xfId="0" applyNumberFormat="1" applyFont="1" applyBorder="1" applyAlignment="1">
      <alignment horizontal="center" vertical="center"/>
    </xf>
    <xf numFmtId="1" fontId="2" fillId="0" borderId="52" xfId="0" applyNumberFormat="1" applyFont="1" applyBorder="1" applyAlignment="1">
      <alignment vertical="center"/>
    </xf>
    <xf numFmtId="164" fontId="2" fillId="0" borderId="52" xfId="0" applyNumberFormat="1" applyFont="1" applyFill="1" applyBorder="1" applyAlignment="1">
      <alignment horizontal="left" vertical="center"/>
    </xf>
    <xf numFmtId="1" fontId="2" fillId="0" borderId="52" xfId="0" applyNumberFormat="1" applyFont="1" applyFill="1" applyBorder="1" applyAlignment="1">
      <alignment horizontal="center" vertical="center"/>
    </xf>
    <xf numFmtId="1" fontId="2" fillId="0" borderId="52" xfId="0" applyNumberFormat="1" applyFont="1" applyBorder="1" applyAlignment="1">
      <alignment horizontal="center" vertical="center"/>
    </xf>
    <xf numFmtId="1" fontId="2" fillId="0" borderId="65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50" xfId="0" applyFont="1" applyBorder="1" applyAlignment="1">
      <alignment horizontal="center" vertical="center"/>
    </xf>
    <xf numFmtId="0" fontId="0" fillId="0" borderId="50" xfId="0" applyBorder="1" applyAlignment="1">
      <alignment horizontal="left" wrapText="1"/>
    </xf>
    <xf numFmtId="4" fontId="0" fillId="0" borderId="50" xfId="0" applyNumberFormat="1" applyBorder="1" applyAlignment="1">
      <alignment horizontal="center" vertical="center"/>
    </xf>
    <xf numFmtId="0" fontId="0" fillId="0" borderId="61" xfId="0" applyBorder="1"/>
    <xf numFmtId="0" fontId="0" fillId="0" borderId="4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emp\Program%20Files\MySelf\Druidy\&#1047;&#1077;&#1083;&#1077;&#1085;&#1082;&#1072;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emp\&#1047;&#1077;&#1083;&#1077;&#1085;&#1082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ая таблица"/>
      <sheetName val="Рабочая ведомость"/>
      <sheetName val="Паспорт"/>
      <sheetName val="Баланс Территорий"/>
      <sheetName val="Титульный Лист"/>
      <sheetName val="Показатели состояния"/>
      <sheetName val="Расчет"/>
      <sheetName val="Инструкция"/>
      <sheetName val="РасценкаНаПосадку"/>
      <sheetName val="DLH"/>
      <sheetName val="Объемы"/>
      <sheetName val="НСИ"/>
      <sheetName val="Constants"/>
    </sheetNames>
    <sheetDataSet>
      <sheetData sheetId="0" refreshError="1">
        <row r="2">
          <cell r="D2" t="str">
            <v>Коммунальное унитарное производственное предприятие "Бресткое котельное хозяйство"</v>
          </cell>
        </row>
        <row r="3">
          <cell r="D3" t="str">
            <v>Брест</v>
          </cell>
        </row>
        <row r="4">
          <cell r="D4" t="str">
            <v>Катин Бор 111</v>
          </cell>
        </row>
        <row r="5">
          <cell r="D5" t="str">
            <v>Насаждения производственной территории</v>
          </cell>
        </row>
        <row r="8">
          <cell r="D8">
            <v>40011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ая таблица"/>
      <sheetName val="Рабочая ведомость"/>
      <sheetName val="Паспорт"/>
      <sheetName val="Баланс Территорий"/>
      <sheetName val="Титульный Лист"/>
      <sheetName val="Показатели состояния"/>
      <sheetName val="Расчет"/>
      <sheetName val="Инструкция"/>
      <sheetName val="РасценкаНаПосадку"/>
      <sheetName val="DLH"/>
      <sheetName val="Объемы"/>
      <sheetName val="НСИ"/>
      <sheetName val="Const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 t="str">
            <v>Абрикос</v>
          </cell>
          <cell r="L4" t="str">
            <v>Дерево</v>
          </cell>
          <cell r="N4" t="str">
            <v>Одиночная</v>
          </cell>
          <cell r="AB4" t="str">
            <v>здоровые</v>
          </cell>
        </row>
        <row r="5">
          <cell r="B5" t="str">
            <v>Абрикос Ансу</v>
          </cell>
          <cell r="L5" t="str">
            <v>Кустарник</v>
          </cell>
          <cell r="N5" t="str">
            <v>Групповая</v>
          </cell>
          <cell r="AB5" t="str">
            <v>ослабленные</v>
          </cell>
        </row>
        <row r="6">
          <cell r="B6" t="str">
            <v>Абрикос манчжурский</v>
          </cell>
          <cell r="N6" t="str">
            <v>Линейная</v>
          </cell>
          <cell r="AB6" t="str">
            <v>сильно ослабленные</v>
          </cell>
        </row>
        <row r="7">
          <cell r="B7" t="str">
            <v>Айва великолепная</v>
          </cell>
          <cell r="AB7" t="str">
            <v>усыхающие</v>
          </cell>
        </row>
        <row r="8">
          <cell r="B8" t="str">
            <v>Айва обыкновенная (продолговатая)</v>
          </cell>
          <cell r="AB8" t="str">
            <v>сухостой</v>
          </cell>
        </row>
        <row r="9">
          <cell r="B9" t="str">
            <v>Айва японская</v>
          </cell>
        </row>
        <row r="10">
          <cell r="B10" t="str">
            <v>Акантопонакс (пробковое дерево)</v>
          </cell>
        </row>
        <row r="11">
          <cell r="B11" t="str">
            <v>Акация желтая (карагана кустарниковая)</v>
          </cell>
        </row>
        <row r="12">
          <cell r="B12" t="str">
            <v>Актенидия</v>
          </cell>
        </row>
        <row r="13">
          <cell r="B13" t="str">
            <v>Алыча</v>
          </cell>
        </row>
        <row r="14">
          <cell r="B14" t="str">
            <v>Аморфа</v>
          </cell>
        </row>
        <row r="15">
          <cell r="B15" t="str">
            <v>Аморфа кустарниковая</v>
          </cell>
        </row>
        <row r="16">
          <cell r="B16" t="str">
            <v xml:space="preserve">Арония  </v>
          </cell>
        </row>
        <row r="17">
          <cell r="B17" t="str">
            <v>Арония черноплодная</v>
          </cell>
        </row>
        <row r="18">
          <cell r="B18" t="str">
            <v>Барбарис бородавчатый</v>
          </cell>
        </row>
        <row r="19">
          <cell r="B19" t="str">
            <v>Барбарис буксифолия</v>
          </cell>
        </row>
        <row r="20">
          <cell r="B20" t="str">
            <v>Барбарис интерпозита</v>
          </cell>
        </row>
        <row r="21">
          <cell r="B21" t="str">
            <v>Барбарис корейский</v>
          </cell>
        </row>
        <row r="22">
          <cell r="B22" t="str">
            <v>Барбарис ланцетолистный</v>
          </cell>
        </row>
        <row r="23">
          <cell r="B23" t="str">
            <v>Барбарис обыкновенный</v>
          </cell>
        </row>
        <row r="24">
          <cell r="B24" t="str">
            <v>Барбарис оттавский</v>
          </cell>
        </row>
        <row r="25">
          <cell r="B25" t="str">
            <v>Барбарис пурпурнолистный</v>
          </cell>
        </row>
        <row r="26">
          <cell r="B26" t="str">
            <v>Барбарис средний</v>
          </cell>
        </row>
        <row r="27">
          <cell r="B27" t="str">
            <v>Барбарис стенофила</v>
          </cell>
        </row>
        <row r="28">
          <cell r="B28" t="str">
            <v>Барбарис Тунберга</v>
          </cell>
        </row>
        <row r="29">
          <cell r="B29" t="str">
            <v>Барбарис Тунберга пурпурнолистный</v>
          </cell>
        </row>
        <row r="30">
          <cell r="B30" t="str">
            <v>Барбарис хоцери</v>
          </cell>
        </row>
        <row r="31">
          <cell r="B31" t="str">
            <v>Барбарис Юлиана</v>
          </cell>
        </row>
        <row r="32">
          <cell r="B32" t="str">
            <v>Бархат амурский</v>
          </cell>
        </row>
        <row r="33">
          <cell r="B33" t="str">
            <v>Береза бородавчатая</v>
          </cell>
        </row>
        <row r="34">
          <cell r="B34" t="str">
            <v>Береза карельская</v>
          </cell>
        </row>
        <row r="35">
          <cell r="B35" t="str">
            <v>Береза повислая</v>
          </cell>
        </row>
        <row r="36">
          <cell r="B36" t="str">
            <v>Бересклет бородавчатый</v>
          </cell>
        </row>
        <row r="37">
          <cell r="B37" t="str">
            <v>Бересклет европейский</v>
          </cell>
        </row>
        <row r="38">
          <cell r="B38" t="str">
            <v>Бересклет крылатый</v>
          </cell>
        </row>
        <row r="39">
          <cell r="B39" t="str">
            <v>Бересклет нанус</v>
          </cell>
        </row>
        <row r="40">
          <cell r="B40" t="str">
            <v>Бересклет форчуна</v>
          </cell>
        </row>
        <row r="41">
          <cell r="B41" t="str">
            <v>Бирючина круглолистная</v>
          </cell>
        </row>
        <row r="42">
          <cell r="B42" t="str">
            <v>Бирючина обыкновенная</v>
          </cell>
        </row>
        <row r="43">
          <cell r="B43" t="str">
            <v>Бирючина пирамидалис</v>
          </cell>
        </row>
        <row r="44">
          <cell r="B44" t="str">
            <v>Бобовник анагроидный</v>
          </cell>
        </row>
        <row r="45">
          <cell r="B45" t="str">
            <v>Боярышник</v>
          </cell>
        </row>
        <row r="46">
          <cell r="B46" t="str">
            <v>Боярышник колючий</v>
          </cell>
        </row>
        <row r="47">
          <cell r="B47" t="str">
            <v>Боярышник кроваво-красный</v>
          </cell>
        </row>
        <row r="48">
          <cell r="B48" t="str">
            <v>Боярышник мягкий</v>
          </cell>
        </row>
        <row r="49">
          <cell r="B49" t="str">
            <v>Боярышник однопестичный</v>
          </cell>
        </row>
        <row r="50">
          <cell r="B50" t="str">
            <v>Боярышник полумягкий</v>
          </cell>
        </row>
        <row r="51">
          <cell r="B51" t="str">
            <v>Буддлея</v>
          </cell>
        </row>
        <row r="52">
          <cell r="B52" t="str">
            <v>Буддлея Давида</v>
          </cell>
        </row>
        <row r="53">
          <cell r="B53" t="str">
            <v>Бузина</v>
          </cell>
        </row>
        <row r="54">
          <cell r="B54" t="str">
            <v>Бузина Вильямса</v>
          </cell>
        </row>
        <row r="55">
          <cell r="B55" t="str">
            <v>Бузина чёрная</v>
          </cell>
        </row>
        <row r="56">
          <cell r="B56" t="str">
            <v>Бук лесной</v>
          </cell>
        </row>
        <row r="57">
          <cell r="B57" t="str">
            <v>Бук повислый</v>
          </cell>
        </row>
        <row r="58">
          <cell r="B58" t="str">
            <v>Бук пурпурный</v>
          </cell>
        </row>
        <row r="59">
          <cell r="B59" t="str">
            <v>Вейгела</v>
          </cell>
        </row>
        <row r="60">
          <cell r="B60" t="str">
            <v>Вейгела гибридная</v>
          </cell>
        </row>
        <row r="61">
          <cell r="B61" t="str">
            <v>Вейгела цветущая</v>
          </cell>
        </row>
        <row r="62">
          <cell r="B62" t="str">
            <v>Виноград "изабелла"</v>
          </cell>
        </row>
        <row r="63">
          <cell r="B63" t="str">
            <v>Виноград девичий</v>
          </cell>
        </row>
        <row r="64">
          <cell r="B64" t="str">
            <v>Вишня Бессея</v>
          </cell>
        </row>
        <row r="65">
          <cell r="B65" t="str">
            <v>Вишня войлочная</v>
          </cell>
        </row>
        <row r="66">
          <cell r="B66" t="str">
            <v>Вишня обыкновенная</v>
          </cell>
        </row>
        <row r="67">
          <cell r="B67" t="str">
            <v>Вяз Camperdownii</v>
          </cell>
        </row>
        <row r="68">
          <cell r="B68" t="str">
            <v>Вяз голландский</v>
          </cell>
        </row>
        <row r="69">
          <cell r="B69" t="str">
            <v>Вяз мелколистный (ильмовник)</v>
          </cell>
        </row>
        <row r="70">
          <cell r="B70" t="str">
            <v>Вяз обыкновенный (гладкий)</v>
          </cell>
        </row>
        <row r="71">
          <cell r="B71" t="str">
            <v>Вяз шершавый</v>
          </cell>
        </row>
        <row r="72">
          <cell r="B72" t="str">
            <v>Гибискус</v>
          </cell>
        </row>
        <row r="73">
          <cell r="B73" t="str">
            <v>Гибискус сирийский</v>
          </cell>
        </row>
        <row r="74">
          <cell r="B74" t="str">
            <v>Гинкго билоба</v>
          </cell>
        </row>
        <row r="75">
          <cell r="B75" t="str">
            <v>Гинкго двуполастное</v>
          </cell>
        </row>
        <row r="76">
          <cell r="B76" t="str">
            <v>Глициния</v>
          </cell>
        </row>
        <row r="77">
          <cell r="B77" t="str">
            <v>Голубика высокорослая</v>
          </cell>
        </row>
        <row r="78">
          <cell r="B78" t="str">
            <v>Голубика крупноплодная</v>
          </cell>
        </row>
        <row r="79">
          <cell r="B79" t="str">
            <v>Гортензия</v>
          </cell>
        </row>
        <row r="80">
          <cell r="B80" t="str">
            <v>Гортензия вьющаяся</v>
          </cell>
        </row>
        <row r="81">
          <cell r="B81" t="str">
            <v>Гортензия древовидная</v>
          </cell>
        </row>
        <row r="82">
          <cell r="B82" t="str">
            <v>Гортензия крупноцветковая</v>
          </cell>
        </row>
        <row r="83">
          <cell r="B83" t="str">
            <v>Гортензия метельчатая</v>
          </cell>
        </row>
        <row r="84">
          <cell r="B84" t="str">
            <v>Граб</v>
          </cell>
        </row>
        <row r="85">
          <cell r="B85" t="str">
            <v>Груша</v>
          </cell>
        </row>
        <row r="86">
          <cell r="B86" t="str">
            <v>Груша березолистная</v>
          </cell>
        </row>
        <row r="87">
          <cell r="B87" t="str">
            <v xml:space="preserve">Дейция  </v>
          </cell>
        </row>
        <row r="88">
          <cell r="B88" t="str">
            <v>Дейция белая</v>
          </cell>
        </row>
        <row r="89">
          <cell r="B89" t="str">
            <v>Дейция гибридная</v>
          </cell>
        </row>
        <row r="90">
          <cell r="B90" t="str">
            <v>Дейция изящная</v>
          </cell>
        </row>
        <row r="91">
          <cell r="B91" t="str">
            <v>Дейция магнифика</v>
          </cell>
        </row>
        <row r="92">
          <cell r="B92" t="str">
            <v>Дейция шершавая</v>
          </cell>
        </row>
        <row r="93">
          <cell r="B93" t="str">
            <v>Дерен белый</v>
          </cell>
        </row>
        <row r="94">
          <cell r="B94" t="str">
            <v>Дерен красный</v>
          </cell>
        </row>
        <row r="95">
          <cell r="B95" t="str">
            <v>Дерен крупнолистный</v>
          </cell>
        </row>
        <row r="96">
          <cell r="B96" t="str">
            <v>Дерен отпрысковый</v>
          </cell>
        </row>
        <row r="97">
          <cell r="B97" t="str">
            <v>Дерен пестролистый</v>
          </cell>
        </row>
        <row r="98">
          <cell r="B98" t="str">
            <v>Дерен черноплодный</v>
          </cell>
        </row>
        <row r="99">
          <cell r="B99" t="str">
            <v>Диптерония китайская</v>
          </cell>
        </row>
        <row r="100">
          <cell r="B100" t="str">
            <v>Древогубец угловатый</v>
          </cell>
        </row>
        <row r="101">
          <cell r="B101" t="str">
            <v>Дуб красный</v>
          </cell>
        </row>
        <row r="102">
          <cell r="B102" t="str">
            <v>Дуб монгольский</v>
          </cell>
        </row>
        <row r="103">
          <cell r="B103" t="str">
            <v>Дуб северный</v>
          </cell>
        </row>
        <row r="104">
          <cell r="B104" t="str">
            <v>Дуб черешчатый</v>
          </cell>
        </row>
        <row r="105">
          <cell r="B105" t="str">
            <v>Дугласия Мензиса</v>
          </cell>
        </row>
        <row r="106">
          <cell r="B106" t="str">
            <v>Ель восточная</v>
          </cell>
        </row>
        <row r="107">
          <cell r="B107" t="str">
            <v>Ель европейская</v>
          </cell>
        </row>
        <row r="108">
          <cell r="B108" t="str">
            <v>Ель кавказская</v>
          </cell>
        </row>
        <row r="109">
          <cell r="B109" t="str">
            <v>Ель канадская</v>
          </cell>
        </row>
        <row r="110">
          <cell r="B110" t="str">
            <v>Ель колючая</v>
          </cell>
        </row>
        <row r="111">
          <cell r="B111" t="str">
            <v>Ель колючая голубая</v>
          </cell>
        </row>
        <row r="112">
          <cell r="B112" t="str">
            <v>Ель обыкновенная</v>
          </cell>
        </row>
        <row r="113">
          <cell r="B113" t="str">
            <v>Ель сербская</v>
          </cell>
        </row>
        <row r="114">
          <cell r="B114" t="str">
            <v>Ель сибирская</v>
          </cell>
        </row>
        <row r="115">
          <cell r="B115" t="str">
            <v>Ель черная</v>
          </cell>
        </row>
        <row r="116">
          <cell r="B116" t="str">
            <v>Жасмин нудифлорум</v>
          </cell>
        </row>
        <row r="117">
          <cell r="B117" t="str">
            <v>Жимолость ауреоретикулата</v>
          </cell>
        </row>
        <row r="118">
          <cell r="B118" t="str">
            <v>Жимолость каприфоль</v>
          </cell>
        </row>
        <row r="119">
          <cell r="B119" t="str">
            <v>Жимолость Маака</v>
          </cell>
        </row>
        <row r="120">
          <cell r="B120" t="str">
            <v>Жимолость обыкновенная</v>
          </cell>
        </row>
        <row r="121">
          <cell r="B121" t="str">
            <v>Жимолость съедобная "Ранняя"</v>
          </cell>
        </row>
        <row r="122">
          <cell r="B122" t="str">
            <v>Жимолость татарская</v>
          </cell>
        </row>
        <row r="123">
          <cell r="B123" t="str">
            <v>Зверобой кустарниковый</v>
          </cell>
        </row>
        <row r="124">
          <cell r="B124" t="str">
            <v>Ива белая (ветла)</v>
          </cell>
        </row>
        <row r="125">
          <cell r="B125" t="str">
            <v>Ива вавилонская</v>
          </cell>
        </row>
        <row r="126">
          <cell r="B126" t="str">
            <v>Ива изящнейшая</v>
          </cell>
        </row>
        <row r="127">
          <cell r="B127" t="str">
            <v>Ива козья (ракита)</v>
          </cell>
        </row>
        <row r="128">
          <cell r="B128" t="str">
            <v>Ива корзиночная</v>
          </cell>
        </row>
        <row r="129">
          <cell r="B129" t="str">
            <v>Ива ломкая плакучая</v>
          </cell>
        </row>
        <row r="130">
          <cell r="B130" t="str">
            <v>Ива остролистная (верба)</v>
          </cell>
        </row>
        <row r="131">
          <cell r="B131" t="str">
            <v>Ива пепельная</v>
          </cell>
        </row>
        <row r="132">
          <cell r="B132" t="str">
            <v>Ива пурпурная</v>
          </cell>
        </row>
        <row r="133">
          <cell r="B133" t="str">
            <v>Ива ушастая</v>
          </cell>
        </row>
        <row r="134">
          <cell r="B134" t="str">
            <v>Ива цельнолистная</v>
          </cell>
        </row>
        <row r="135">
          <cell r="B135" t="str">
            <v>Ива шаровидная</v>
          </cell>
        </row>
        <row r="136">
          <cell r="B136" t="str">
            <v>Ирга</v>
          </cell>
        </row>
        <row r="137">
          <cell r="B137" t="str">
            <v>Калина бульданэш</v>
          </cell>
        </row>
        <row r="138">
          <cell r="B138" t="str">
            <v>Калина гордовина</v>
          </cell>
        </row>
        <row r="139">
          <cell r="B139" t="str">
            <v>Калина красная</v>
          </cell>
        </row>
        <row r="140">
          <cell r="B140" t="str">
            <v>Калина обыкновенная</v>
          </cell>
        </row>
        <row r="141">
          <cell r="B141" t="str">
            <v>Карагана древовидная</v>
          </cell>
        </row>
        <row r="142">
          <cell r="B142" t="str">
            <v>Кария катаенская (орех)</v>
          </cell>
        </row>
        <row r="143">
          <cell r="B143" t="str">
            <v>Катальпа</v>
          </cell>
        </row>
        <row r="144">
          <cell r="B144" t="str">
            <v>Каштан конский</v>
          </cell>
        </row>
        <row r="145">
          <cell r="B145" t="str">
            <v>Каштан красный</v>
          </cell>
        </row>
        <row r="146">
          <cell r="B146" t="str">
            <v>Кедр Гималайский</v>
          </cell>
        </row>
        <row r="147">
          <cell r="B147" t="str">
            <v>Кедр сибирский</v>
          </cell>
        </row>
        <row r="148">
          <cell r="B148" t="str">
            <v>Керея японская</v>
          </cell>
        </row>
        <row r="149">
          <cell r="B149" t="str">
            <v>Кизил мужской</v>
          </cell>
        </row>
        <row r="150">
          <cell r="B150" t="str">
            <v>Кизильник блестящий</v>
          </cell>
        </row>
        <row r="151">
          <cell r="B151" t="str">
            <v>Кизильник гибридный</v>
          </cell>
        </row>
        <row r="152">
          <cell r="B152" t="str">
            <v>Кизильник горизонтальный</v>
          </cell>
        </row>
        <row r="153">
          <cell r="B153" t="str">
            <v>Кизильник Даммера</v>
          </cell>
        </row>
        <row r="154">
          <cell r="B154" t="str">
            <v>Кизильник иволистный</v>
          </cell>
        </row>
        <row r="155">
          <cell r="B155" t="str">
            <v>Кизильник крошечный</v>
          </cell>
        </row>
        <row r="156">
          <cell r="B156" t="str">
            <v>Кизильник лежачий</v>
          </cell>
        </row>
        <row r="157">
          <cell r="B157" t="str">
            <v>Кизильник нан-шань</v>
          </cell>
        </row>
        <row r="158">
          <cell r="B158" t="str">
            <v>Кизильник пузырчатый</v>
          </cell>
        </row>
        <row r="159">
          <cell r="B159" t="str">
            <v>Кизильник растопыренный</v>
          </cell>
        </row>
        <row r="160">
          <cell r="B160" t="str">
            <v>Кизильник спиральный</v>
          </cell>
        </row>
        <row r="161">
          <cell r="B161" t="str">
            <v>Кипарисовик горохоплодный</v>
          </cell>
        </row>
        <row r="162">
          <cell r="B162" t="str">
            <v>Кипарисовик Лавсона</v>
          </cell>
        </row>
        <row r="163">
          <cell r="B163" t="str">
            <v>кипарисовик скавароза</v>
          </cell>
        </row>
        <row r="164">
          <cell r="B164" t="str">
            <v>Кипарисовик туевидный</v>
          </cell>
        </row>
        <row r="165">
          <cell r="B165" t="str">
            <v xml:space="preserve">Клематис  </v>
          </cell>
        </row>
        <row r="166">
          <cell r="B166" t="str">
            <v>Клематис прямостоячий</v>
          </cell>
        </row>
        <row r="167">
          <cell r="B167" t="str">
            <v>Клен гиннала</v>
          </cell>
        </row>
        <row r="168">
          <cell r="B168" t="str">
            <v>Клен дланевидный</v>
          </cell>
        </row>
        <row r="169">
          <cell r="B169" t="str">
            <v>Клен зеленокорый</v>
          </cell>
        </row>
        <row r="170">
          <cell r="B170" t="str">
            <v>Клен ложноплатановый</v>
          </cell>
        </row>
        <row r="171">
          <cell r="B171" t="str">
            <v>Клен остролистный</v>
          </cell>
        </row>
        <row r="172">
          <cell r="B172" t="str">
            <v>Клен пальмолистный</v>
          </cell>
        </row>
        <row r="173">
          <cell r="B173" t="str">
            <v>Клен полевой</v>
          </cell>
        </row>
        <row r="174">
          <cell r="B174" t="str">
            <v>Клен серебристый</v>
          </cell>
        </row>
        <row r="175">
          <cell r="B175" t="str">
            <v>Клен татарский</v>
          </cell>
        </row>
        <row r="176">
          <cell r="B176" t="str">
            <v>Клен усеченный</v>
          </cell>
        </row>
        <row r="177">
          <cell r="B177" t="str">
            <v>Клен ясенелистный</v>
          </cell>
        </row>
        <row r="178">
          <cell r="B178" t="str">
            <v>Кольквиция прелестная</v>
          </cell>
        </row>
        <row r="179">
          <cell r="B179" t="str">
            <v>Криптомерия</v>
          </cell>
        </row>
        <row r="180">
          <cell r="B180" t="str">
            <v>Крушина</v>
          </cell>
        </row>
        <row r="181">
          <cell r="B181" t="str">
            <v>Крыжовник</v>
          </cell>
        </row>
        <row r="182">
          <cell r="B182" t="str">
            <v>Курильский чай</v>
          </cell>
        </row>
        <row r="183">
          <cell r="B183" t="str">
            <v>Лавровишня</v>
          </cell>
        </row>
        <row r="184">
          <cell r="B184" t="str">
            <v>Лапчатка</v>
          </cell>
        </row>
        <row r="185">
          <cell r="B185" t="str">
            <v xml:space="preserve">Лапчатка белая </v>
          </cell>
        </row>
        <row r="186">
          <cell r="B186" t="str">
            <v>Лапчатка желтая</v>
          </cell>
        </row>
        <row r="187">
          <cell r="B187" t="str">
            <v>Леспедеца двухцветная</v>
          </cell>
        </row>
        <row r="188">
          <cell r="B188" t="str">
            <v>Лещина большая</v>
          </cell>
        </row>
        <row r="189">
          <cell r="B189" t="str">
            <v>Лещина обыкновенная</v>
          </cell>
        </row>
        <row r="190">
          <cell r="B190" t="str">
            <v>Лещина разнолистная</v>
          </cell>
        </row>
        <row r="191">
          <cell r="B191" t="str">
            <v>Лимонник китайский</v>
          </cell>
        </row>
        <row r="192">
          <cell r="B192" t="str">
            <v>Липа европейская</v>
          </cell>
        </row>
        <row r="193">
          <cell r="B193" t="str">
            <v>Липа крупнолистная</v>
          </cell>
        </row>
        <row r="194">
          <cell r="B194" t="str">
            <v>Липа мелколистная</v>
          </cell>
        </row>
        <row r="195">
          <cell r="B195" t="str">
            <v>Лиственница европейская</v>
          </cell>
        </row>
        <row r="196">
          <cell r="B196" t="str">
            <v>Лиственница сибирская</v>
          </cell>
        </row>
        <row r="197">
          <cell r="B197" t="str">
            <v>Лох зонтичный</v>
          </cell>
        </row>
        <row r="198">
          <cell r="B198" t="str">
            <v>Лох серебристый</v>
          </cell>
        </row>
        <row r="199">
          <cell r="B199" t="str">
            <v>Лох узколистный</v>
          </cell>
        </row>
        <row r="200">
          <cell r="B200" t="str">
            <v>Маакия (акация) амурская</v>
          </cell>
        </row>
        <row r="201">
          <cell r="B201" t="str">
            <v>Магнолия</v>
          </cell>
        </row>
        <row r="202">
          <cell r="B202" t="str">
            <v>Магония падуболистная</v>
          </cell>
        </row>
        <row r="203">
          <cell r="B203" t="str">
            <v>Малина</v>
          </cell>
        </row>
        <row r="204">
          <cell r="B204" t="str">
            <v>Микробиота перекрестнопарная</v>
          </cell>
        </row>
        <row r="205">
          <cell r="B205" t="str">
            <v>Миндаль трехлопастной</v>
          </cell>
        </row>
        <row r="206">
          <cell r="B206" t="str">
            <v>Миндаль штамбовый</v>
          </cell>
        </row>
        <row r="207">
          <cell r="B207" t="str">
            <v>Можжевельни горизонтальный</v>
          </cell>
        </row>
        <row r="208">
          <cell r="B208" t="str">
            <v>Можжевельник виргинский</v>
          </cell>
        </row>
        <row r="209">
          <cell r="B209" t="str">
            <v>Можжевельник казацкий</v>
          </cell>
        </row>
        <row r="210">
          <cell r="B210" t="str">
            <v>Можжевельник китайский</v>
          </cell>
        </row>
        <row r="211">
          <cell r="B211" t="str">
            <v>Можжевельник обыкновенный</v>
          </cell>
        </row>
        <row r="212">
          <cell r="B212" t="str">
            <v>Можжевельник прибрежный</v>
          </cell>
        </row>
        <row r="213">
          <cell r="B213" t="str">
            <v>Можжевельник скальный</v>
          </cell>
        </row>
        <row r="214">
          <cell r="B214" t="str">
            <v>Можжевельник средний</v>
          </cell>
        </row>
        <row r="215">
          <cell r="B215" t="str">
            <v>Можжевельник чешуйчатый</v>
          </cell>
        </row>
        <row r="216">
          <cell r="B216" t="str">
            <v>Можжевельник шведский</v>
          </cell>
        </row>
        <row r="217">
          <cell r="B217" t="str">
            <v>Облепиха</v>
          </cell>
        </row>
        <row r="218">
          <cell r="B218" t="str">
            <v>Облепиха крушинновидная</v>
          </cell>
        </row>
        <row r="219">
          <cell r="B219" t="str">
            <v>Ольха серая</v>
          </cell>
        </row>
        <row r="220">
          <cell r="B220" t="str">
            <v>Ольха черная</v>
          </cell>
        </row>
        <row r="221">
          <cell r="B221" t="str">
            <v>Орех грецкий</v>
          </cell>
        </row>
        <row r="222">
          <cell r="B222" t="str">
            <v>Орех манчжурский</v>
          </cell>
        </row>
        <row r="223">
          <cell r="B223" t="str">
            <v>Орех серцевидный</v>
          </cell>
        </row>
        <row r="224">
          <cell r="B224" t="str">
            <v>Орех черный</v>
          </cell>
        </row>
        <row r="225">
          <cell r="B225" t="str">
            <v>Осина</v>
          </cell>
        </row>
        <row r="226">
          <cell r="B226" t="str">
            <v>Падуб</v>
          </cell>
        </row>
        <row r="227">
          <cell r="B227" t="str">
            <v>Падуб Мезерва</v>
          </cell>
        </row>
        <row r="228">
          <cell r="B228" t="str">
            <v>Пахисандра верхушечная</v>
          </cell>
        </row>
        <row r="229">
          <cell r="B229" t="str">
            <v>Персик</v>
          </cell>
        </row>
        <row r="230">
          <cell r="B230" t="str">
            <v>Пион древовидный</v>
          </cell>
        </row>
        <row r="231">
          <cell r="B231" t="str">
            <v>Пихта</v>
          </cell>
        </row>
        <row r="232">
          <cell r="B232" t="str">
            <v>Пихта бальзамическая</v>
          </cell>
        </row>
        <row r="233">
          <cell r="B233" t="str">
            <v>Пихта белая</v>
          </cell>
        </row>
        <row r="234">
          <cell r="B234" t="str">
            <v>Пихта высокорослая</v>
          </cell>
        </row>
        <row r="235">
          <cell r="B235" t="str">
            <v>Пихта кавказская</v>
          </cell>
        </row>
        <row r="236">
          <cell r="B236" t="str">
            <v>Пихта корейская</v>
          </cell>
        </row>
        <row r="237">
          <cell r="B237" t="str">
            <v>Пихта одноцветная</v>
          </cell>
        </row>
        <row r="238">
          <cell r="B238" t="str">
            <v>Пихта сибирская</v>
          </cell>
        </row>
        <row r="239">
          <cell r="B239" t="str">
            <v>Плющ обыкновенный</v>
          </cell>
        </row>
        <row r="240">
          <cell r="B240" t="str">
            <v>Птелея трехлистная</v>
          </cell>
        </row>
        <row r="241">
          <cell r="B241" t="str">
            <v>Пузыреплодник калинолистный</v>
          </cell>
        </row>
        <row r="242">
          <cell r="B242" t="str">
            <v>Пузыреплодник пурпурный</v>
          </cell>
        </row>
        <row r="243">
          <cell r="B243" t="str">
            <v>Пузырник (колютея)</v>
          </cell>
        </row>
        <row r="244">
          <cell r="B244" t="str">
            <v xml:space="preserve">Ракитник  </v>
          </cell>
        </row>
        <row r="245">
          <cell r="B245" t="str">
            <v>Ракитник метельчатый</v>
          </cell>
        </row>
        <row r="246">
          <cell r="B246" t="str">
            <v>Робиния лжеакация</v>
          </cell>
        </row>
        <row r="247">
          <cell r="B247" t="str">
            <v>Рододендрон</v>
          </cell>
        </row>
        <row r="248">
          <cell r="B248" t="str">
            <v>Роза даурская</v>
          </cell>
        </row>
        <row r="249">
          <cell r="B249" t="str">
            <v>Роза морщинистая</v>
          </cell>
        </row>
        <row r="250">
          <cell r="B250" t="str">
            <v>Роза неукрывная</v>
          </cell>
        </row>
        <row r="251">
          <cell r="B251" t="str">
            <v>Роза садовая</v>
          </cell>
        </row>
        <row r="252">
          <cell r="B252" t="str">
            <v>Роза собачья</v>
          </cell>
        </row>
        <row r="253">
          <cell r="B253" t="str">
            <v>Рябина гибридная</v>
          </cell>
        </row>
        <row r="254">
          <cell r="B254" t="str">
            <v>Рябина Несвижская</v>
          </cell>
        </row>
        <row r="255">
          <cell r="B255" t="str">
            <v>Рябина обыкновенная</v>
          </cell>
        </row>
        <row r="256">
          <cell r="B256" t="str">
            <v>Рябина шведская</v>
          </cell>
        </row>
        <row r="257">
          <cell r="B257" t="str">
            <v>Самшит  вечнозеленый</v>
          </cell>
        </row>
        <row r="258">
          <cell r="B258" t="str">
            <v>Самшит вечнозеленый пестрый</v>
          </cell>
        </row>
        <row r="259">
          <cell r="B259" t="str">
            <v>Сирень амурская</v>
          </cell>
        </row>
        <row r="260">
          <cell r="B260" t="str">
            <v>Сирень венгерская</v>
          </cell>
        </row>
        <row r="261">
          <cell r="B261" t="str">
            <v>Сирень Мейера</v>
          </cell>
        </row>
        <row r="262">
          <cell r="B262" t="str">
            <v>Сирень обыкновенная</v>
          </cell>
        </row>
        <row r="263">
          <cell r="B263" t="str">
            <v>Сирень раскидистая</v>
          </cell>
        </row>
        <row r="264">
          <cell r="B264" t="str">
            <v>Сирень рефлекса</v>
          </cell>
        </row>
        <row r="265">
          <cell r="B265" t="str">
            <v>Скумпия кожевенная</v>
          </cell>
        </row>
        <row r="266">
          <cell r="B266" t="str">
            <v>Слива домашняя</v>
          </cell>
        </row>
        <row r="267">
          <cell r="B267" t="str">
            <v>Смородина альпийская</v>
          </cell>
        </row>
        <row r="268">
          <cell r="B268" t="str">
            <v>Смородина золотистая</v>
          </cell>
        </row>
        <row r="269">
          <cell r="B269" t="str">
            <v>Смородина красная</v>
          </cell>
        </row>
        <row r="270">
          <cell r="B270" t="str">
            <v>Смородина черная</v>
          </cell>
        </row>
        <row r="271">
          <cell r="B271" t="str">
            <v>Снежноягодник белый</v>
          </cell>
        </row>
        <row r="272">
          <cell r="B272" t="str">
            <v>Снежноягодник Доренбоза</v>
          </cell>
        </row>
        <row r="273">
          <cell r="B273" t="str">
            <v>Снежноягодник Хенаульта</v>
          </cell>
        </row>
        <row r="274">
          <cell r="B274" t="str">
            <v>Сорбария</v>
          </cell>
        </row>
        <row r="275">
          <cell r="B275" t="str">
            <v>Сосна белокорая</v>
          </cell>
        </row>
        <row r="276">
          <cell r="B276" t="str">
            <v>Сосна веймутова</v>
          </cell>
        </row>
        <row r="277">
          <cell r="B277" t="str">
            <v>Сосна виридис</v>
          </cell>
        </row>
        <row r="278">
          <cell r="B278" t="str">
            <v>Сосна гельдрейха</v>
          </cell>
        </row>
        <row r="279">
          <cell r="B279" t="str">
            <v>Сосна гималайская</v>
          </cell>
        </row>
        <row r="280">
          <cell r="B280" t="str">
            <v>Сосна горная</v>
          </cell>
        </row>
        <row r="281">
          <cell r="B281" t="str">
            <v>Сосна кедровая</v>
          </cell>
        </row>
        <row r="282">
          <cell r="B282" t="str">
            <v>Сосна кедровая корейская</v>
          </cell>
        </row>
        <row r="283">
          <cell r="B283" t="str">
            <v>Сосна кедровая сибирская</v>
          </cell>
        </row>
        <row r="284">
          <cell r="B284" t="str">
            <v>Сосна корейская</v>
          </cell>
        </row>
        <row r="285">
          <cell r="B285" t="str">
            <v>Сосна крымская</v>
          </cell>
        </row>
        <row r="286">
          <cell r="B286" t="str">
            <v>Сосна лейкодермис</v>
          </cell>
        </row>
        <row r="287">
          <cell r="B287" t="str">
            <v>Сосна обыкновенная</v>
          </cell>
        </row>
        <row r="288">
          <cell r="B288" t="str">
            <v>Сосна остистая</v>
          </cell>
        </row>
        <row r="289">
          <cell r="B289" t="str">
            <v>Сосна черная</v>
          </cell>
        </row>
        <row r="290">
          <cell r="B290" t="str">
            <v>Спирея аргута</v>
          </cell>
        </row>
        <row r="291">
          <cell r="B291" t="str">
            <v>Спирея березолистная</v>
          </cell>
        </row>
        <row r="292">
          <cell r="B292" t="str">
            <v>Спирея боллиарди</v>
          </cell>
        </row>
        <row r="293">
          <cell r="B293" t="str">
            <v>Спирея Бумальда</v>
          </cell>
        </row>
        <row r="294">
          <cell r="B294" t="str">
            <v>Спирея вангутта</v>
          </cell>
        </row>
        <row r="295">
          <cell r="B295" t="str">
            <v>Спирея верболистная</v>
          </cell>
        </row>
        <row r="296">
          <cell r="B296" t="str">
            <v>Спирея густоцветковая</v>
          </cell>
        </row>
        <row r="297">
          <cell r="B297" t="str">
            <v>Спирея Дугласа</v>
          </cell>
        </row>
        <row r="298">
          <cell r="B298" t="str">
            <v>Спирея иволистная</v>
          </cell>
        </row>
        <row r="299">
          <cell r="B299" t="str">
            <v>Спирея калинослистная</v>
          </cell>
        </row>
        <row r="300">
          <cell r="B300" t="str">
            <v>Спирея серая</v>
          </cell>
        </row>
        <row r="301">
          <cell r="B301" t="str">
            <v>Спирея сливолостная</v>
          </cell>
        </row>
        <row r="302">
          <cell r="B302" t="str">
            <v>Спирея японская</v>
          </cell>
        </row>
        <row r="303">
          <cell r="B303" t="str">
            <v>Стефанандра надрезаннолистная</v>
          </cell>
        </row>
        <row r="304">
          <cell r="B304" t="str">
            <v>Сумах уксусный</v>
          </cell>
        </row>
        <row r="305">
          <cell r="B305" t="str">
            <v>Сумах японский</v>
          </cell>
        </row>
        <row r="306">
          <cell r="B306" t="str">
            <v>Таволга</v>
          </cell>
        </row>
        <row r="307">
          <cell r="B307" t="str">
            <v>Тамарикс</v>
          </cell>
        </row>
        <row r="308">
          <cell r="B308" t="str">
            <v>Тамарикс тетрандра</v>
          </cell>
        </row>
        <row r="309">
          <cell r="B309" t="str">
            <v>Тисс средний</v>
          </cell>
        </row>
        <row r="310">
          <cell r="B310" t="str">
            <v>Тисс ягодный</v>
          </cell>
        </row>
        <row r="311">
          <cell r="B311" t="str">
            <v>Тополь бальзамический</v>
          </cell>
        </row>
        <row r="312">
          <cell r="B312" t="str">
            <v>Тополь белый</v>
          </cell>
        </row>
        <row r="313">
          <cell r="B313" t="str">
            <v>Тополь канадский</v>
          </cell>
        </row>
        <row r="314">
          <cell r="B314" t="str">
            <v>Тополь китайский</v>
          </cell>
        </row>
        <row r="315">
          <cell r="B315" t="str">
            <v>Тополь советский</v>
          </cell>
        </row>
        <row r="316">
          <cell r="B316" t="str">
            <v>Тополь черный</v>
          </cell>
        </row>
        <row r="317">
          <cell r="B317" t="str">
            <v>Тсуга канадская</v>
          </cell>
        </row>
        <row r="318">
          <cell r="B318" t="str">
            <v>Туя Вагнера</v>
          </cell>
        </row>
        <row r="319">
          <cell r="B319" t="str">
            <v>Туя вересковидная</v>
          </cell>
        </row>
        <row r="320">
          <cell r="B320" t="str">
            <v>Туя восточная</v>
          </cell>
        </row>
        <row r="321">
          <cell r="B321" t="str">
            <v>Туя Говея</v>
          </cell>
        </row>
        <row r="322">
          <cell r="B322" t="str">
            <v>Туя желтоватая</v>
          </cell>
        </row>
        <row r="323">
          <cell r="B323" t="str">
            <v>Туя западная</v>
          </cell>
        </row>
        <row r="324">
          <cell r="B324" t="str">
            <v>Туя золотистокончиковая</v>
          </cell>
        </row>
        <row r="325">
          <cell r="B325" t="str">
            <v>Туя кустовая</v>
          </cell>
        </row>
        <row r="326">
          <cell r="B326" t="str">
            <v>Туя пирамидальная</v>
          </cell>
        </row>
        <row r="327">
          <cell r="B327" t="str">
            <v>Туя складчатая</v>
          </cell>
        </row>
        <row r="328">
          <cell r="B328" t="str">
            <v>Туя шаровидная</v>
          </cell>
        </row>
        <row r="329">
          <cell r="B329" t="str">
            <v>Форзиция виридиссима</v>
          </cell>
        </row>
        <row r="330">
          <cell r="B330" t="str">
            <v>Форзиция европейская</v>
          </cell>
        </row>
        <row r="331">
          <cell r="B331" t="str">
            <v>Форзиция овальная</v>
          </cell>
        </row>
        <row r="332">
          <cell r="B332" t="str">
            <v>Форзиция пониклая</v>
          </cell>
        </row>
        <row r="333">
          <cell r="B333" t="str">
            <v>Форзиция ранняя</v>
          </cell>
        </row>
        <row r="334">
          <cell r="B334" t="str">
            <v>Форзиция средняя</v>
          </cell>
        </row>
        <row r="335">
          <cell r="B335" t="str">
            <v>Фундук</v>
          </cell>
        </row>
        <row r="336">
          <cell r="B336" t="str">
            <v>Черемуха виргинская</v>
          </cell>
        </row>
        <row r="337">
          <cell r="B337" t="str">
            <v>Черемуха Маака</v>
          </cell>
        </row>
        <row r="338">
          <cell r="B338" t="str">
            <v>Черемуха обыкновенная</v>
          </cell>
        </row>
        <row r="339">
          <cell r="B339" t="str">
            <v>Черемуха поздняя</v>
          </cell>
        </row>
        <row r="340">
          <cell r="B340" t="str">
            <v>Черешня</v>
          </cell>
        </row>
        <row r="341">
          <cell r="B341" t="str">
            <v>Чубушник венечный</v>
          </cell>
        </row>
        <row r="342">
          <cell r="B342" t="str">
            <v>Чубушник виргинский</v>
          </cell>
        </row>
        <row r="343">
          <cell r="B343" t="str">
            <v>Шелковица</v>
          </cell>
        </row>
        <row r="344">
          <cell r="B344" t="str">
            <v>Эводия рутеплодная</v>
          </cell>
        </row>
        <row r="345">
          <cell r="B345" t="str">
            <v>Эхинацея пурпурная</v>
          </cell>
        </row>
        <row r="346">
          <cell r="B346" t="str">
            <v>Яблоня</v>
          </cell>
        </row>
        <row r="347">
          <cell r="B347" t="str">
            <v>Яблоня колонновидная</v>
          </cell>
        </row>
        <row r="348">
          <cell r="B348" t="str">
            <v>Яблоня лесная</v>
          </cell>
        </row>
        <row r="349">
          <cell r="B349" t="str">
            <v>Яблоня Недзвецкого</v>
          </cell>
        </row>
        <row r="350">
          <cell r="B350" t="str">
            <v>Яблоня пурпурная</v>
          </cell>
        </row>
        <row r="351">
          <cell r="B351" t="str">
            <v>Яблоня сливолистная, китайка</v>
          </cell>
        </row>
        <row r="352">
          <cell r="B352" t="str">
            <v>Яблоня ягодная (сибирская)</v>
          </cell>
        </row>
        <row r="353">
          <cell r="B353" t="str">
            <v>Ясень зелёный</v>
          </cell>
        </row>
        <row r="354">
          <cell r="B354" t="str">
            <v>Ясень ланцетный</v>
          </cell>
        </row>
        <row r="355">
          <cell r="B355" t="str">
            <v>Ясень обыкновенный</v>
          </cell>
        </row>
        <row r="356">
          <cell r="B356" t="str">
            <v>Ясень пенсильванский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***@***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O37"/>
  <sheetViews>
    <sheetView view="pageBreakPreview" zoomScaleNormal="100" zoomScaleSheetLayoutView="100" workbookViewId="0">
      <selection activeCell="G24" sqref="G24"/>
    </sheetView>
  </sheetViews>
  <sheetFormatPr defaultRowHeight="12.75"/>
  <cols>
    <col min="1" max="1" width="10.85546875" customWidth="1"/>
    <col min="2" max="2" width="11" customWidth="1"/>
    <col min="3" max="4" width="10.85546875" customWidth="1"/>
    <col min="5" max="5" width="12.28515625" customWidth="1"/>
    <col min="6" max="7" width="10.85546875" customWidth="1"/>
    <col min="8" max="8" width="11" customWidth="1"/>
    <col min="9" max="9" width="10.7109375" customWidth="1"/>
    <col min="10" max="10" width="10.85546875" customWidth="1"/>
  </cols>
  <sheetData>
    <row r="6" spans="1:15" ht="20.25">
      <c r="B6" s="133"/>
      <c r="C6" s="133"/>
      <c r="D6" s="133"/>
      <c r="E6" s="134" t="s">
        <v>97</v>
      </c>
      <c r="F6" s="133"/>
      <c r="G6" s="133"/>
      <c r="H6" s="133"/>
      <c r="I6" s="133"/>
      <c r="J6" s="133"/>
      <c r="M6" s="286"/>
      <c r="N6" s="286"/>
      <c r="O6" s="286"/>
    </row>
    <row r="7" spans="1:15" ht="20.25">
      <c r="E7" s="134" t="s">
        <v>98</v>
      </c>
    </row>
    <row r="8" spans="1:15" ht="18.75">
      <c r="B8" s="130"/>
      <c r="C8" s="130"/>
      <c r="D8" s="130"/>
      <c r="E8" s="138" t="s">
        <v>99</v>
      </c>
      <c r="F8" s="130"/>
      <c r="G8" s="130"/>
      <c r="H8" s="130"/>
      <c r="I8" s="130"/>
      <c r="J8" s="130"/>
      <c r="M8" s="287"/>
      <c r="N8" s="287"/>
      <c r="O8" s="287"/>
    </row>
    <row r="9" spans="1:15" ht="18.75">
      <c r="A9" s="288"/>
      <c r="B9" s="288"/>
      <c r="C9" s="288"/>
      <c r="D9" s="288"/>
      <c r="E9" s="288"/>
      <c r="F9" s="288"/>
      <c r="G9" s="288"/>
      <c r="H9" s="288"/>
      <c r="I9" s="288"/>
      <c r="J9" s="288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M10" s="2"/>
      <c r="N10" s="2"/>
      <c r="O10" s="2"/>
    </row>
    <row r="11" spans="1:15" ht="41.25" customHeight="1">
      <c r="A11" s="289" t="s">
        <v>102</v>
      </c>
      <c r="B11" s="290"/>
      <c r="C11" s="290"/>
      <c r="D11" s="290"/>
      <c r="E11" s="290"/>
      <c r="F11" s="290"/>
      <c r="G11" s="290"/>
      <c r="H11" s="290"/>
      <c r="I11" s="290"/>
      <c r="J11" s="290"/>
      <c r="M11" s="285"/>
      <c r="N11" s="285"/>
    </row>
    <row r="12" spans="1:15" ht="30" customHeight="1">
      <c r="A12" s="262" t="s">
        <v>231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"/>
      <c r="L12" s="1"/>
      <c r="M12" s="3"/>
      <c r="N12" s="4"/>
    </row>
    <row r="13" spans="1:15" ht="26.25" customHeight="1">
      <c r="A13" s="262" t="s">
        <v>232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"/>
      <c r="L13" s="1"/>
      <c r="M13" s="3"/>
      <c r="N13" s="4"/>
    </row>
    <row r="14" spans="1:15" ht="26.25" customHeight="1"/>
    <row r="15" spans="1:15" ht="30" customHeight="1">
      <c r="A15" s="130" t="s">
        <v>101</v>
      </c>
      <c r="B15" s="257" t="s">
        <v>211</v>
      </c>
      <c r="C15" s="131"/>
      <c r="D15" s="130"/>
      <c r="E15" s="131"/>
      <c r="F15" s="217" t="s">
        <v>166</v>
      </c>
      <c r="G15" s="131"/>
      <c r="H15" s="130" t="s">
        <v>100</v>
      </c>
      <c r="I15" s="131"/>
      <c r="J15" s="131"/>
      <c r="K15" s="1"/>
      <c r="L15" s="1"/>
    </row>
    <row r="16" spans="1:15" ht="30" customHeight="1">
      <c r="B16" s="128"/>
      <c r="D16" s="128"/>
      <c r="E16" s="128"/>
      <c r="F16" s="128"/>
      <c r="G16" s="128"/>
      <c r="H16" s="128"/>
      <c r="I16" s="128"/>
      <c r="J16" s="128"/>
      <c r="K16" s="6"/>
    </row>
    <row r="17" spans="1:15" ht="30" customHeight="1">
      <c r="A17" s="170"/>
      <c r="B17" s="171"/>
      <c r="C17" s="171"/>
      <c r="D17" s="171"/>
      <c r="E17" s="171"/>
      <c r="F17" s="171"/>
      <c r="G17" s="171"/>
      <c r="H17" s="171"/>
      <c r="I17" s="171"/>
      <c r="J17" s="171"/>
    </row>
    <row r="18" spans="1:15" ht="30" customHeight="1">
      <c r="A18" s="170"/>
      <c r="B18" s="171"/>
      <c r="C18" s="171"/>
      <c r="D18" s="171"/>
      <c r="E18" s="171"/>
      <c r="F18" s="171"/>
      <c r="G18" s="171"/>
      <c r="H18" s="171"/>
      <c r="I18" s="171"/>
      <c r="J18" s="171"/>
    </row>
    <row r="19" spans="1:15" ht="30" customHeight="1">
      <c r="A19" s="135"/>
      <c r="B19" s="136"/>
      <c r="C19" s="136"/>
      <c r="D19" s="291"/>
      <c r="E19" s="291"/>
      <c r="F19" s="291"/>
      <c r="G19" s="291"/>
      <c r="H19" s="291"/>
      <c r="I19" s="291"/>
      <c r="J19" s="291"/>
      <c r="K19" s="1"/>
      <c r="L19" s="1"/>
      <c r="M19" s="3"/>
      <c r="N19" s="3"/>
    </row>
    <row r="20" spans="1:15" ht="30" customHeight="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1"/>
      <c r="L20" s="1"/>
      <c r="M20" s="2"/>
      <c r="N20" s="2"/>
      <c r="O20" s="2"/>
    </row>
    <row r="21" spans="1:15">
      <c r="A21" s="2"/>
      <c r="B21" s="2"/>
      <c r="C21" s="2"/>
      <c r="D21" s="2"/>
      <c r="E21" s="2"/>
      <c r="F21" s="2"/>
      <c r="G21" s="2"/>
      <c r="H21" s="2"/>
      <c r="I21" s="2"/>
      <c r="J21" s="2"/>
      <c r="M21" s="2"/>
      <c r="N21" s="2"/>
      <c r="O21" s="2"/>
    </row>
    <row r="22" spans="1:15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M22" s="2"/>
      <c r="N22" s="2"/>
      <c r="O22" s="2"/>
    </row>
    <row r="23" spans="1:15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M23" s="2"/>
      <c r="N23" s="2"/>
      <c r="O23" s="2"/>
    </row>
    <row r="24" spans="1:15" ht="4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M24" s="2"/>
      <c r="N24" s="2"/>
      <c r="O24" s="2"/>
    </row>
    <row r="25" spans="1:15">
      <c r="A25" s="2"/>
      <c r="B25" s="2"/>
      <c r="C25" s="2"/>
      <c r="D25" s="2"/>
      <c r="E25" s="2"/>
      <c r="F25" s="2"/>
      <c r="G25" s="2"/>
      <c r="H25" s="2"/>
      <c r="I25" s="2"/>
      <c r="J25" s="2"/>
      <c r="M25" s="2"/>
      <c r="N25" s="2"/>
      <c r="O25" s="2"/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M26" s="2"/>
      <c r="N26" s="2"/>
      <c r="O26" s="2"/>
    </row>
    <row r="27" spans="1:15">
      <c r="J27" s="2"/>
    </row>
    <row r="32" spans="1:15" ht="15.75">
      <c r="A32" s="5"/>
      <c r="B32" s="5"/>
      <c r="C32" s="5"/>
      <c r="D32" s="5"/>
      <c r="E32" s="5"/>
      <c r="F32" s="5"/>
      <c r="G32" s="5"/>
      <c r="H32" s="5"/>
      <c r="I32" s="5"/>
      <c r="M32" s="5"/>
      <c r="N32" s="5"/>
      <c r="O32" s="5"/>
    </row>
    <row r="37" spans="1:1" ht="19.5">
      <c r="A37" s="34" t="s">
        <v>233</v>
      </c>
    </row>
  </sheetData>
  <mergeCells count="7">
    <mergeCell ref="A20:J20"/>
    <mergeCell ref="M11:N11"/>
    <mergeCell ref="M6:O6"/>
    <mergeCell ref="M8:O8"/>
    <mergeCell ref="A9:J9"/>
    <mergeCell ref="A11:J11"/>
    <mergeCell ref="D19:J19"/>
  </mergeCells>
  <phoneticPr fontId="8" type="noConversion"/>
  <pageMargins left="0.75" right="0.75" top="1" bottom="1" header="0.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8"/>
  <sheetViews>
    <sheetView view="pageBreakPreview" zoomScale="90" zoomScaleNormal="90" zoomScaleSheetLayoutView="90" workbookViewId="0">
      <selection activeCell="K56" sqref="K56"/>
    </sheetView>
  </sheetViews>
  <sheetFormatPr defaultRowHeight="12.75"/>
  <cols>
    <col min="1" max="1" width="6.42578125" style="156" bestFit="1" customWidth="1"/>
    <col min="2" max="2" width="15.42578125" style="137" customWidth="1"/>
    <col min="3" max="3" width="10" style="182" customWidth="1"/>
    <col min="4" max="4" width="8.140625" style="181" customWidth="1"/>
    <col min="5" max="5" width="10.85546875" style="181" bestFit="1" customWidth="1"/>
    <col min="6" max="6" width="6.42578125" style="181" bestFit="1" customWidth="1"/>
    <col min="7" max="7" width="10.7109375" style="156" customWidth="1"/>
    <col min="8" max="8" width="10" style="181" customWidth="1"/>
    <col min="9" max="9" width="7.140625" style="181" customWidth="1"/>
    <col min="10" max="10" width="13.7109375" style="173" customWidth="1"/>
    <col min="11" max="11" width="27.140625" style="173" customWidth="1"/>
    <col min="12" max="12" width="12.5703125" style="173" hidden="1" customWidth="1"/>
    <col min="13" max="13" width="11.42578125" style="33" bestFit="1" customWidth="1"/>
    <col min="14" max="14" width="8.28515625" style="173" bestFit="1" customWidth="1"/>
    <col min="15" max="17" width="7.28515625" style="173" bestFit="1" customWidth="1"/>
    <col min="18" max="18" width="14.85546875" style="173" bestFit="1" customWidth="1"/>
    <col min="19" max="19" width="8" style="273" bestFit="1" customWidth="1"/>
    <col min="20" max="20" width="5.85546875" style="173" bestFit="1" customWidth="1"/>
    <col min="21" max="21" width="6.5703125" style="173" bestFit="1" customWidth="1"/>
    <col min="22" max="22" width="8.5703125" style="173" bestFit="1" customWidth="1"/>
    <col min="23" max="23" width="9" style="173" bestFit="1" customWidth="1"/>
    <col min="24" max="24" width="10.140625" style="173" bestFit="1" customWidth="1"/>
    <col min="25" max="25" width="3.42578125" style="173" bestFit="1" customWidth="1"/>
  </cols>
  <sheetData>
    <row r="1" spans="1:25" ht="18.75" customHeight="1" thickBot="1">
      <c r="A1" s="297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183"/>
      <c r="S1" s="269"/>
    </row>
    <row r="2" spans="1:25" ht="41.25" customHeight="1">
      <c r="A2" s="301" t="s">
        <v>103</v>
      </c>
      <c r="B2" s="298" t="s">
        <v>117</v>
      </c>
      <c r="C2" s="298" t="s">
        <v>104</v>
      </c>
      <c r="D2" s="298" t="s">
        <v>118</v>
      </c>
      <c r="E2" s="308" t="s">
        <v>119</v>
      </c>
      <c r="F2" s="309"/>
      <c r="G2" s="309"/>
      <c r="H2" s="310"/>
      <c r="I2" s="298" t="s">
        <v>116</v>
      </c>
      <c r="J2" s="321" t="s">
        <v>109</v>
      </c>
      <c r="K2" s="322"/>
      <c r="L2" s="322"/>
      <c r="M2" s="322"/>
      <c r="N2" s="322"/>
      <c r="O2" s="322"/>
      <c r="P2" s="322"/>
      <c r="Q2" s="323"/>
      <c r="R2" s="184"/>
      <c r="S2" s="270"/>
    </row>
    <row r="3" spans="1:25" ht="51.75" customHeight="1">
      <c r="A3" s="302"/>
      <c r="B3" s="306"/>
      <c r="C3" s="306"/>
      <c r="D3" s="299"/>
      <c r="E3" s="311" t="s">
        <v>105</v>
      </c>
      <c r="F3" s="312" t="s">
        <v>106</v>
      </c>
      <c r="G3" s="313"/>
      <c r="H3" s="311" t="s">
        <v>108</v>
      </c>
      <c r="I3" s="306"/>
      <c r="J3" s="304" t="s">
        <v>110</v>
      </c>
      <c r="K3" s="304" t="s">
        <v>115</v>
      </c>
      <c r="L3" s="304" t="s">
        <v>111</v>
      </c>
      <c r="M3" s="304" t="s">
        <v>113</v>
      </c>
      <c r="N3" s="314" t="s">
        <v>114</v>
      </c>
      <c r="O3" s="315"/>
      <c r="P3" s="315"/>
      <c r="Q3" s="316"/>
      <c r="R3" s="317" t="s">
        <v>112</v>
      </c>
      <c r="S3" s="319" t="s">
        <v>139</v>
      </c>
    </row>
    <row r="4" spans="1:25" ht="95.25" customHeight="1" thickBot="1">
      <c r="A4" s="303"/>
      <c r="B4" s="307"/>
      <c r="C4" s="307"/>
      <c r="D4" s="300"/>
      <c r="E4" s="300"/>
      <c r="F4" s="139" t="s">
        <v>107</v>
      </c>
      <c r="G4" s="139" t="s">
        <v>8</v>
      </c>
      <c r="H4" s="300"/>
      <c r="I4" s="307"/>
      <c r="J4" s="305"/>
      <c r="K4" s="305"/>
      <c r="L4" s="305"/>
      <c r="M4" s="305"/>
      <c r="N4" s="174" t="s">
        <v>0</v>
      </c>
      <c r="O4" s="174" t="s">
        <v>3</v>
      </c>
      <c r="P4" s="174" t="s">
        <v>6</v>
      </c>
      <c r="Q4" s="206" t="s">
        <v>7</v>
      </c>
      <c r="R4" s="318"/>
      <c r="S4" s="320"/>
      <c r="T4" s="185" t="s">
        <v>149</v>
      </c>
      <c r="U4" s="185" t="s">
        <v>150</v>
      </c>
      <c r="V4" s="185" t="s">
        <v>151</v>
      </c>
      <c r="W4" s="185" t="s">
        <v>152</v>
      </c>
      <c r="X4" s="185" t="s">
        <v>153</v>
      </c>
      <c r="Y4" s="185" t="s">
        <v>154</v>
      </c>
    </row>
    <row r="5" spans="1:25" s="140" customFormat="1" ht="13.5" hidden="1" thickBot="1">
      <c r="A5" s="164" t="s">
        <v>1</v>
      </c>
      <c r="B5" s="165">
        <v>2</v>
      </c>
      <c r="C5" s="165">
        <v>3</v>
      </c>
      <c r="D5" s="165">
        <v>4</v>
      </c>
      <c r="E5" s="165">
        <v>5</v>
      </c>
      <c r="F5" s="165">
        <v>6</v>
      </c>
      <c r="G5" s="179">
        <v>7</v>
      </c>
      <c r="H5" s="165">
        <v>8</v>
      </c>
      <c r="I5" s="165">
        <v>9</v>
      </c>
      <c r="J5" s="166">
        <v>10</v>
      </c>
      <c r="K5" s="166">
        <v>11</v>
      </c>
      <c r="L5" s="166">
        <v>12</v>
      </c>
      <c r="M5" s="166">
        <v>13</v>
      </c>
      <c r="N5" s="166">
        <v>14</v>
      </c>
      <c r="O5" s="166">
        <v>15</v>
      </c>
      <c r="P5" s="166">
        <v>16</v>
      </c>
      <c r="Q5" s="207">
        <v>17</v>
      </c>
      <c r="R5" s="186">
        <v>18</v>
      </c>
      <c r="S5" s="271">
        <v>19</v>
      </c>
    </row>
    <row r="6" spans="1:25" s="104" customFormat="1" ht="17.25" customHeight="1">
      <c r="A6" s="219">
        <v>1</v>
      </c>
      <c r="B6" s="292" t="s">
        <v>212</v>
      </c>
      <c r="C6" s="292">
        <v>0.42299999999999999</v>
      </c>
      <c r="D6" s="292" t="s">
        <v>123</v>
      </c>
      <c r="E6" s="294">
        <v>0.21</v>
      </c>
      <c r="F6" s="294">
        <v>0.1</v>
      </c>
      <c r="G6" s="294">
        <f>F6/E6*100</f>
        <v>47.61904761904762</v>
      </c>
      <c r="H6" s="294">
        <f>E6-F6</f>
        <v>0.10999999999999999</v>
      </c>
      <c r="I6" s="294"/>
      <c r="J6" s="192" t="s">
        <v>148</v>
      </c>
      <c r="K6" s="214" t="s">
        <v>57</v>
      </c>
      <c r="L6" s="191">
        <v>28</v>
      </c>
      <c r="M6" s="190">
        <v>6</v>
      </c>
      <c r="N6" s="191">
        <v>6</v>
      </c>
      <c r="O6" s="191"/>
      <c r="P6" s="191"/>
      <c r="Q6" s="208"/>
      <c r="R6" s="193"/>
      <c r="S6" s="272">
        <v>25</v>
      </c>
      <c r="T6" s="64">
        <v>12.3</v>
      </c>
      <c r="U6" s="104">
        <v>0.8</v>
      </c>
      <c r="V6" s="195">
        <f>T6*U6</f>
        <v>9.8400000000000016</v>
      </c>
      <c r="W6" s="196">
        <f>M6*3.14*V6*V6/4</f>
        <v>456.0485760000002</v>
      </c>
      <c r="X6" s="205" t="e">
        <f>SUM(W6:W24)</f>
        <v>#VALUE!</v>
      </c>
    </row>
    <row r="7" spans="1:25" s="104" customFormat="1" ht="21" customHeight="1">
      <c r="A7" s="220"/>
      <c r="B7" s="293"/>
      <c r="C7" s="293"/>
      <c r="D7" s="293"/>
      <c r="E7" s="295"/>
      <c r="F7" s="295"/>
      <c r="G7" s="295"/>
      <c r="H7" s="295"/>
      <c r="I7" s="295"/>
      <c r="J7" s="189" t="s">
        <v>148</v>
      </c>
      <c r="K7" s="187" t="s">
        <v>213</v>
      </c>
      <c r="L7" s="190">
        <v>36</v>
      </c>
      <c r="M7" s="190">
        <v>5</v>
      </c>
      <c r="N7" s="190">
        <v>5</v>
      </c>
      <c r="O7" s="190"/>
      <c r="P7" s="190"/>
      <c r="Q7" s="209"/>
      <c r="R7" s="194"/>
      <c r="S7" s="272">
        <v>34</v>
      </c>
      <c r="T7" s="64">
        <v>17.100000000000001</v>
      </c>
      <c r="U7" s="104">
        <v>0.8</v>
      </c>
      <c r="V7" s="195">
        <f t="shared" ref="V7:V8" si="0">T7*U7</f>
        <v>13.680000000000001</v>
      </c>
      <c r="W7" s="196">
        <f t="shared" ref="W7:W9" si="1">M7*3.14*V7*V7/4</f>
        <v>734.53392000000019</v>
      </c>
    </row>
    <row r="8" spans="1:25" s="104" customFormat="1" ht="21" customHeight="1">
      <c r="A8" s="220"/>
      <c r="B8" s="293"/>
      <c r="C8" s="293"/>
      <c r="D8" s="293"/>
      <c r="E8" s="295"/>
      <c r="F8" s="295"/>
      <c r="G8" s="295"/>
      <c r="H8" s="295"/>
      <c r="I8" s="295"/>
      <c r="J8" s="189" t="s">
        <v>148</v>
      </c>
      <c r="K8" s="187" t="s">
        <v>37</v>
      </c>
      <c r="L8" s="190">
        <v>16</v>
      </c>
      <c r="M8" s="190">
        <v>1</v>
      </c>
      <c r="N8" s="190">
        <v>1</v>
      </c>
      <c r="O8" s="190"/>
      <c r="P8" s="190"/>
      <c r="Q8" s="209"/>
      <c r="R8" s="194"/>
      <c r="S8" s="272">
        <v>13</v>
      </c>
      <c r="T8" s="195">
        <v>14.3</v>
      </c>
      <c r="U8" s="104">
        <v>0.8</v>
      </c>
      <c r="V8" s="195">
        <f t="shared" si="0"/>
        <v>11.440000000000001</v>
      </c>
      <c r="W8" s="196">
        <f t="shared" si="1"/>
        <v>102.73577600000003</v>
      </c>
    </row>
    <row r="9" spans="1:25" ht="21" customHeight="1">
      <c r="A9" s="220"/>
      <c r="B9" s="293"/>
      <c r="C9" s="293"/>
      <c r="D9" s="293"/>
      <c r="E9" s="295"/>
      <c r="F9" s="295"/>
      <c r="G9" s="295"/>
      <c r="H9" s="295"/>
      <c r="I9" s="295"/>
      <c r="J9" s="189" t="s">
        <v>148</v>
      </c>
      <c r="K9" s="187" t="s">
        <v>74</v>
      </c>
      <c r="L9" s="190">
        <v>48</v>
      </c>
      <c r="M9" s="7">
        <v>6</v>
      </c>
      <c r="N9" s="7">
        <v>6</v>
      </c>
      <c r="O9" s="7"/>
      <c r="P9" s="7"/>
      <c r="Q9" s="210"/>
      <c r="R9" s="7"/>
      <c r="S9" s="272">
        <v>3</v>
      </c>
      <c r="T9" s="195">
        <v>4</v>
      </c>
      <c r="U9" s="104">
        <v>0.8</v>
      </c>
      <c r="V9" s="195">
        <f t="shared" ref="V9:V10" si="2">T9*U9</f>
        <v>3.2</v>
      </c>
      <c r="W9" s="196">
        <f t="shared" si="1"/>
        <v>48.230400000000003</v>
      </c>
      <c r="X9" s="104"/>
      <c r="Y9" s="104"/>
    </row>
    <row r="10" spans="1:25" ht="21" customHeight="1">
      <c r="A10" s="220"/>
      <c r="B10" s="293"/>
      <c r="C10" s="293"/>
      <c r="D10" s="293"/>
      <c r="E10" s="295"/>
      <c r="F10" s="295"/>
      <c r="G10" s="295"/>
      <c r="H10" s="295"/>
      <c r="I10" s="295"/>
      <c r="J10" s="189" t="s">
        <v>148</v>
      </c>
      <c r="K10" s="187" t="s">
        <v>80</v>
      </c>
      <c r="L10" s="190">
        <v>24</v>
      </c>
      <c r="M10" s="190">
        <v>2</v>
      </c>
      <c r="N10" s="190">
        <v>2</v>
      </c>
      <c r="O10" s="190"/>
      <c r="P10" s="190"/>
      <c r="Q10" s="209"/>
      <c r="R10" s="7"/>
      <c r="S10" s="272">
        <v>33</v>
      </c>
      <c r="T10" s="169">
        <v>17.3</v>
      </c>
      <c r="U10" s="104">
        <v>0.8</v>
      </c>
      <c r="V10" s="169">
        <f t="shared" si="2"/>
        <v>13.840000000000002</v>
      </c>
      <c r="W10" s="196">
        <f>M11*3.14*V10*V10/4</f>
        <v>150.36329600000005</v>
      </c>
      <c r="X10" s="188"/>
    </row>
    <row r="11" spans="1:25" s="260" customFormat="1" ht="21" customHeight="1">
      <c r="A11" s="220"/>
      <c r="B11" s="293"/>
      <c r="C11" s="293"/>
      <c r="D11" s="293"/>
      <c r="E11" s="295"/>
      <c r="F11" s="295"/>
      <c r="G11" s="295"/>
      <c r="H11" s="295"/>
      <c r="I11" s="295"/>
      <c r="J11" s="189" t="s">
        <v>148</v>
      </c>
      <c r="K11" s="187" t="s">
        <v>215</v>
      </c>
      <c r="L11" s="190">
        <v>28</v>
      </c>
      <c r="M11" s="7">
        <v>1</v>
      </c>
      <c r="N11" s="7">
        <v>1</v>
      </c>
      <c r="O11" s="7"/>
      <c r="P11" s="7"/>
      <c r="Q11" s="210"/>
      <c r="R11" s="190"/>
      <c r="S11" s="272">
        <v>7</v>
      </c>
      <c r="T11" s="169"/>
      <c r="U11" s="104"/>
      <c r="V11" s="169"/>
      <c r="W11" s="196"/>
    </row>
    <row r="12" spans="1:25" s="261" customFormat="1" ht="21" customHeight="1">
      <c r="A12" s="220"/>
      <c r="B12" s="264"/>
      <c r="C12" s="264"/>
      <c r="D12" s="264"/>
      <c r="E12" s="266"/>
      <c r="F12" s="266"/>
      <c r="G12" s="266"/>
      <c r="H12" s="266"/>
      <c r="I12" s="266"/>
      <c r="J12" s="189" t="s">
        <v>148</v>
      </c>
      <c r="K12" s="187" t="s">
        <v>86</v>
      </c>
      <c r="L12" s="190">
        <v>6</v>
      </c>
      <c r="M12" s="190">
        <v>5</v>
      </c>
      <c r="N12" s="190">
        <v>5</v>
      </c>
      <c r="O12" s="190"/>
      <c r="P12" s="190"/>
      <c r="Q12" s="209"/>
      <c r="R12" s="190"/>
      <c r="S12" s="272">
        <v>19</v>
      </c>
      <c r="T12" s="169"/>
      <c r="U12" s="104"/>
      <c r="V12" s="169"/>
      <c r="W12" s="196"/>
    </row>
    <row r="13" spans="1:25" s="153" customFormat="1" ht="14.25" thickBot="1">
      <c r="A13" s="224" t="s">
        <v>164</v>
      </c>
      <c r="B13" s="225"/>
      <c r="C13" s="255">
        <f>C6</f>
        <v>0.42299999999999999</v>
      </c>
      <c r="D13" s="256"/>
      <c r="E13" s="255">
        <f>E6</f>
        <v>0.21</v>
      </c>
      <c r="F13" s="255">
        <f>F6</f>
        <v>0.1</v>
      </c>
      <c r="G13" s="226">
        <f t="shared" ref="G13:G14" si="3">F13/E13*100</f>
        <v>47.61904761904762</v>
      </c>
      <c r="H13" s="226">
        <f>H6</f>
        <v>0.10999999999999999</v>
      </c>
      <c r="I13" s="226">
        <f>M13/E13</f>
        <v>123.80952380952381</v>
      </c>
      <c r="J13" s="227"/>
      <c r="K13" s="228"/>
      <c r="L13" s="221"/>
      <c r="M13" s="222">
        <f>SUM(M6:M12)</f>
        <v>26</v>
      </c>
      <c r="N13" s="222">
        <f>SUM(N6:N12)</f>
        <v>26</v>
      </c>
      <c r="O13" s="222"/>
      <c r="P13" s="222"/>
      <c r="Q13" s="253"/>
      <c r="R13" s="190"/>
      <c r="S13" s="273"/>
      <c r="T13" s="216"/>
      <c r="U13" s="216"/>
      <c r="V13" s="216"/>
      <c r="W13" s="216"/>
      <c r="X13" s="216"/>
      <c r="Y13" s="216"/>
    </row>
    <row r="14" spans="1:25" s="153" customFormat="1" ht="14.25" hidden="1" thickBot="1">
      <c r="A14" s="224" t="s">
        <v>164</v>
      </c>
      <c r="B14" s="225"/>
      <c r="C14" s="255" t="e">
        <f>#REF!</f>
        <v>#REF!</v>
      </c>
      <c r="D14" s="256"/>
      <c r="E14" s="255" t="e">
        <f>#REF!</f>
        <v>#REF!</v>
      </c>
      <c r="F14" s="255" t="e">
        <f>#REF!</f>
        <v>#REF!</v>
      </c>
      <c r="G14" s="226" t="e">
        <f t="shared" si="3"/>
        <v>#REF!</v>
      </c>
      <c r="H14" s="226" t="e">
        <f>#REF!</f>
        <v>#REF!</v>
      </c>
      <c r="I14" s="226" t="e">
        <f>C14*0.0001/E14</f>
        <v>#REF!</v>
      </c>
      <c r="J14" s="275" t="s">
        <v>216</v>
      </c>
      <c r="K14" s="276"/>
      <c r="L14" s="222"/>
      <c r="M14" s="222"/>
      <c r="N14" s="222"/>
      <c r="O14" s="222" t="e">
        <f>SUM(#REF!)</f>
        <v>#REF!</v>
      </c>
      <c r="P14" s="222" t="e">
        <f>SUM(#REF!)</f>
        <v>#REF!</v>
      </c>
      <c r="Q14" s="253"/>
      <c r="R14" s="190"/>
      <c r="S14" s="273"/>
      <c r="T14" s="261"/>
      <c r="U14" s="261"/>
      <c r="V14" s="261"/>
      <c r="W14" s="261"/>
      <c r="X14" s="261"/>
      <c r="Y14" s="261"/>
    </row>
    <row r="15" spans="1:25" s="261" customFormat="1" ht="25.5" hidden="1">
      <c r="A15" s="219">
        <v>2</v>
      </c>
      <c r="B15" s="246" t="s">
        <v>217</v>
      </c>
      <c r="C15" s="263">
        <v>0.9657</v>
      </c>
      <c r="D15" s="247" t="s">
        <v>165</v>
      </c>
      <c r="E15" s="248">
        <v>0.97</v>
      </c>
      <c r="F15" s="248">
        <v>0.46</v>
      </c>
      <c r="G15" s="265">
        <f>F15/E15*100</f>
        <v>47.422680412371136</v>
      </c>
      <c r="H15" s="265">
        <f>E15-F15</f>
        <v>0.51</v>
      </c>
      <c r="I15" s="248"/>
      <c r="J15" s="249" t="s">
        <v>148</v>
      </c>
      <c r="K15" s="250" t="s">
        <v>213</v>
      </c>
      <c r="L15" s="191">
        <v>12</v>
      </c>
      <c r="M15" s="251">
        <v>1</v>
      </c>
      <c r="N15" s="251">
        <v>1</v>
      </c>
      <c r="O15" s="251"/>
      <c r="P15" s="251"/>
      <c r="Q15" s="252"/>
      <c r="R15" s="7"/>
      <c r="S15" s="64">
        <v>1</v>
      </c>
      <c r="U15" s="261">
        <v>0.5</v>
      </c>
      <c r="V15" s="195">
        <f>S15*U15</f>
        <v>0.5</v>
      </c>
      <c r="W15" s="196">
        <f>M15*3.14*V15*V15/4</f>
        <v>0.19625000000000001</v>
      </c>
    </row>
    <row r="16" spans="1:25" s="261" customFormat="1" ht="15.75" hidden="1">
      <c r="A16" s="220"/>
      <c r="B16" s="215"/>
      <c r="C16" s="264"/>
      <c r="D16" s="241"/>
      <c r="E16" s="242"/>
      <c r="F16" s="242"/>
      <c r="G16" s="266"/>
      <c r="H16" s="266"/>
      <c r="I16" s="242"/>
      <c r="J16" s="176" t="s">
        <v>148</v>
      </c>
      <c r="K16" s="187" t="s">
        <v>57</v>
      </c>
      <c r="L16" s="190">
        <v>16</v>
      </c>
      <c r="M16" s="7">
        <v>1</v>
      </c>
      <c r="N16" s="7">
        <v>1</v>
      </c>
      <c r="O16" s="7"/>
      <c r="P16" s="7"/>
      <c r="Q16" s="210"/>
      <c r="R16" s="7"/>
      <c r="S16" s="64">
        <v>2</v>
      </c>
      <c r="V16" s="195"/>
      <c r="W16" s="196"/>
    </row>
    <row r="17" spans="1:23" s="261" customFormat="1" ht="15.75" hidden="1">
      <c r="A17" s="220"/>
      <c r="B17" s="215"/>
      <c r="C17" s="264"/>
      <c r="D17" s="241"/>
      <c r="E17" s="242"/>
      <c r="F17" s="242"/>
      <c r="G17" s="266"/>
      <c r="H17" s="266"/>
      <c r="I17" s="242"/>
      <c r="J17" s="176" t="s">
        <v>148</v>
      </c>
      <c r="K17" s="187" t="s">
        <v>213</v>
      </c>
      <c r="L17" s="190">
        <v>12</v>
      </c>
      <c r="M17" s="7">
        <v>1</v>
      </c>
      <c r="N17" s="7">
        <v>1</v>
      </c>
      <c r="O17" s="7"/>
      <c r="P17" s="7"/>
      <c r="Q17" s="210"/>
      <c r="R17" s="190"/>
      <c r="S17" s="64">
        <v>3</v>
      </c>
      <c r="V17" s="195"/>
      <c r="W17" s="196"/>
    </row>
    <row r="18" spans="1:23" s="261" customFormat="1" ht="15.75" hidden="1">
      <c r="A18" s="220"/>
      <c r="B18" s="215"/>
      <c r="C18" s="264"/>
      <c r="D18" s="241"/>
      <c r="E18" s="242"/>
      <c r="F18" s="242"/>
      <c r="G18" s="266"/>
      <c r="H18" s="266"/>
      <c r="I18" s="242"/>
      <c r="J18" s="176" t="s">
        <v>148</v>
      </c>
      <c r="K18" s="187" t="s">
        <v>57</v>
      </c>
      <c r="L18" s="190">
        <v>16</v>
      </c>
      <c r="M18" s="7">
        <v>1</v>
      </c>
      <c r="N18" s="7">
        <v>1</v>
      </c>
      <c r="O18" s="7"/>
      <c r="P18" s="7"/>
      <c r="Q18" s="210"/>
      <c r="R18" s="190"/>
      <c r="S18" s="64">
        <v>4</v>
      </c>
      <c r="V18" s="195"/>
      <c r="W18" s="196"/>
    </row>
    <row r="19" spans="1:23" s="261" customFormat="1" ht="15.75" hidden="1">
      <c r="A19" s="220"/>
      <c r="B19" s="215"/>
      <c r="C19" s="264"/>
      <c r="D19" s="241"/>
      <c r="E19" s="242"/>
      <c r="F19" s="242"/>
      <c r="G19" s="266"/>
      <c r="H19" s="266"/>
      <c r="I19" s="242"/>
      <c r="J19" s="176" t="s">
        <v>148</v>
      </c>
      <c r="K19" s="187" t="s">
        <v>213</v>
      </c>
      <c r="L19" s="190">
        <v>12</v>
      </c>
      <c r="M19" s="7">
        <v>1</v>
      </c>
      <c r="N19" s="7">
        <v>1</v>
      </c>
      <c r="O19" s="7"/>
      <c r="P19" s="7"/>
      <c r="Q19" s="210"/>
      <c r="R19" s="190"/>
      <c r="S19" s="64">
        <v>5</v>
      </c>
      <c r="V19" s="195"/>
      <c r="W19" s="196"/>
    </row>
    <row r="20" spans="1:23" s="261" customFormat="1" ht="15.75" hidden="1">
      <c r="A20" s="220"/>
      <c r="B20" s="215"/>
      <c r="C20" s="264"/>
      <c r="D20" s="241"/>
      <c r="E20" s="242"/>
      <c r="F20" s="242"/>
      <c r="G20" s="266"/>
      <c r="H20" s="266"/>
      <c r="I20" s="242"/>
      <c r="J20" s="176" t="s">
        <v>148</v>
      </c>
      <c r="K20" s="187" t="s">
        <v>213</v>
      </c>
      <c r="L20" s="190">
        <v>12</v>
      </c>
      <c r="M20" s="7">
        <v>1</v>
      </c>
      <c r="N20" s="7">
        <v>1</v>
      </c>
      <c r="O20" s="7"/>
      <c r="P20" s="7"/>
      <c r="Q20" s="210"/>
      <c r="R20" s="190"/>
      <c r="S20" s="64">
        <v>6</v>
      </c>
      <c r="V20" s="195"/>
      <c r="W20" s="196"/>
    </row>
    <row r="21" spans="1:23" s="261" customFormat="1" ht="15.75" hidden="1">
      <c r="A21" s="220"/>
      <c r="B21" s="215"/>
      <c r="C21" s="264"/>
      <c r="D21" s="241"/>
      <c r="E21" s="242"/>
      <c r="F21" s="242"/>
      <c r="G21" s="266"/>
      <c r="H21" s="266"/>
      <c r="I21" s="242"/>
      <c r="J21" s="176" t="s">
        <v>148</v>
      </c>
      <c r="K21" s="187" t="s">
        <v>57</v>
      </c>
      <c r="L21" s="190">
        <v>24</v>
      </c>
      <c r="M21" s="7">
        <v>2</v>
      </c>
      <c r="N21" s="7">
        <v>2</v>
      </c>
      <c r="O21" s="7"/>
      <c r="P21" s="7"/>
      <c r="Q21" s="210"/>
      <c r="R21" s="7"/>
      <c r="S21" s="64" t="s">
        <v>218</v>
      </c>
      <c r="U21" s="261">
        <v>0.5</v>
      </c>
      <c r="V21" s="195" t="e">
        <f>S21*U21</f>
        <v>#VALUE!</v>
      </c>
      <c r="W21" s="196" t="e">
        <f t="shared" ref="W21" si="4">M21*3.14*V21*V21/4</f>
        <v>#VALUE!</v>
      </c>
    </row>
    <row r="22" spans="1:23" s="261" customFormat="1" ht="15.75" hidden="1">
      <c r="A22" s="220"/>
      <c r="B22" s="215"/>
      <c r="C22" s="264"/>
      <c r="D22" s="241"/>
      <c r="E22" s="242"/>
      <c r="F22" s="242"/>
      <c r="G22" s="266"/>
      <c r="H22" s="266"/>
      <c r="I22" s="242"/>
      <c r="J22" s="277" t="s">
        <v>148</v>
      </c>
      <c r="K22" s="268" t="s">
        <v>214</v>
      </c>
      <c r="L22" s="267">
        <v>32</v>
      </c>
      <c r="M22" s="267">
        <v>1</v>
      </c>
      <c r="N22" s="267">
        <v>1</v>
      </c>
      <c r="O22" s="7"/>
      <c r="P22" s="7"/>
      <c r="Q22" s="210"/>
      <c r="S22" s="64">
        <v>9</v>
      </c>
      <c r="U22" s="7">
        <v>4</v>
      </c>
    </row>
    <row r="23" spans="1:23" s="261" customFormat="1" ht="15.75" hidden="1">
      <c r="A23" s="220"/>
      <c r="B23" s="215"/>
      <c r="C23" s="264"/>
      <c r="D23" s="241"/>
      <c r="E23" s="242"/>
      <c r="F23" s="242"/>
      <c r="G23" s="266"/>
      <c r="H23" s="266"/>
      <c r="I23" s="242"/>
      <c r="J23" s="176" t="s">
        <v>148</v>
      </c>
      <c r="K23" s="187" t="s">
        <v>161</v>
      </c>
      <c r="L23" s="190">
        <v>12</v>
      </c>
      <c r="M23" s="7">
        <v>1</v>
      </c>
      <c r="N23" s="7">
        <v>1</v>
      </c>
      <c r="O23" s="7"/>
      <c r="P23" s="7"/>
      <c r="Q23" s="210"/>
      <c r="S23" s="64">
        <v>10</v>
      </c>
      <c r="U23" s="7">
        <v>4</v>
      </c>
    </row>
    <row r="24" spans="1:23" s="261" customFormat="1" ht="15.75" hidden="1">
      <c r="A24" s="220"/>
      <c r="B24" s="215"/>
      <c r="C24" s="264"/>
      <c r="D24" s="241"/>
      <c r="E24" s="242"/>
      <c r="F24" s="242"/>
      <c r="G24" s="266"/>
      <c r="H24" s="266"/>
      <c r="I24" s="242"/>
      <c r="J24" s="176" t="s">
        <v>148</v>
      </c>
      <c r="K24" s="187" t="s">
        <v>57</v>
      </c>
      <c r="L24" s="190">
        <v>28</v>
      </c>
      <c r="M24" s="7">
        <v>1</v>
      </c>
      <c r="N24" s="7">
        <v>1</v>
      </c>
      <c r="O24" s="7"/>
      <c r="P24" s="7"/>
      <c r="Q24" s="210"/>
      <c r="S24" s="64">
        <v>11</v>
      </c>
      <c r="U24" s="7">
        <v>2</v>
      </c>
    </row>
    <row r="25" spans="1:23" s="261" customFormat="1" ht="15.75" hidden="1">
      <c r="A25" s="220"/>
      <c r="B25" s="215"/>
      <c r="C25" s="264"/>
      <c r="D25" s="241"/>
      <c r="E25" s="242"/>
      <c r="F25" s="242"/>
      <c r="G25" s="266"/>
      <c r="H25" s="266"/>
      <c r="I25" s="242"/>
      <c r="J25" s="176" t="s">
        <v>148</v>
      </c>
      <c r="K25" s="187" t="s">
        <v>57</v>
      </c>
      <c r="L25" s="267"/>
      <c r="M25" s="7">
        <v>1</v>
      </c>
      <c r="N25" s="7">
        <v>1</v>
      </c>
      <c r="O25" s="7"/>
      <c r="P25" s="7"/>
      <c r="Q25" s="210"/>
      <c r="S25" s="64">
        <v>12</v>
      </c>
      <c r="U25" s="7">
        <v>1</v>
      </c>
    </row>
    <row r="26" spans="1:23" s="261" customFormat="1" ht="15.75" hidden="1">
      <c r="A26" s="220"/>
      <c r="B26" s="215"/>
      <c r="C26" s="264"/>
      <c r="D26" s="241"/>
      <c r="E26" s="242"/>
      <c r="F26" s="242"/>
      <c r="G26" s="266"/>
      <c r="H26" s="266"/>
      <c r="I26" s="242"/>
      <c r="J26" s="176" t="s">
        <v>148</v>
      </c>
      <c r="K26" s="187" t="s">
        <v>68</v>
      </c>
      <c r="L26" s="190">
        <v>8</v>
      </c>
      <c r="M26" s="7">
        <v>7</v>
      </c>
      <c r="N26" s="7">
        <v>7</v>
      </c>
      <c r="O26" s="7"/>
      <c r="P26" s="7"/>
      <c r="Q26" s="210"/>
      <c r="S26" s="64" t="s">
        <v>219</v>
      </c>
      <c r="U26" s="7">
        <v>1</v>
      </c>
    </row>
    <row r="27" spans="1:23" s="261" customFormat="1" ht="15.75" hidden="1">
      <c r="A27" s="220"/>
      <c r="B27" s="215"/>
      <c r="C27" s="264"/>
      <c r="D27" s="241"/>
      <c r="E27" s="242"/>
      <c r="F27" s="242"/>
      <c r="G27" s="266"/>
      <c r="H27" s="266"/>
      <c r="I27" s="242"/>
      <c r="J27" s="176" t="s">
        <v>148</v>
      </c>
      <c r="K27" s="187" t="s">
        <v>57</v>
      </c>
      <c r="L27" s="190">
        <v>16</v>
      </c>
      <c r="M27" s="7">
        <v>1</v>
      </c>
      <c r="N27" s="7">
        <v>1</v>
      </c>
      <c r="O27" s="7"/>
      <c r="P27" s="7"/>
      <c r="Q27" s="210"/>
      <c r="S27" s="64">
        <v>20</v>
      </c>
      <c r="U27" s="7">
        <v>1</v>
      </c>
    </row>
    <row r="28" spans="1:23" s="261" customFormat="1" ht="15.75" hidden="1">
      <c r="A28" s="220"/>
      <c r="B28" s="215"/>
      <c r="C28" s="264"/>
      <c r="D28" s="241"/>
      <c r="E28" s="242"/>
      <c r="F28" s="242"/>
      <c r="G28" s="266"/>
      <c r="H28" s="266"/>
      <c r="I28" s="242"/>
      <c r="J28" s="176" t="s">
        <v>148</v>
      </c>
      <c r="K28" s="187" t="s">
        <v>215</v>
      </c>
      <c r="L28" s="267"/>
      <c r="M28" s="7">
        <v>1</v>
      </c>
      <c r="N28" s="7">
        <v>1</v>
      </c>
      <c r="O28" s="7"/>
      <c r="P28" s="7"/>
      <c r="Q28" s="210"/>
      <c r="S28" s="64">
        <v>21</v>
      </c>
      <c r="U28" s="7">
        <v>1</v>
      </c>
    </row>
    <row r="29" spans="1:23" s="261" customFormat="1" ht="15.75" hidden="1">
      <c r="A29" s="220"/>
      <c r="B29" s="215"/>
      <c r="C29" s="264"/>
      <c r="D29" s="241"/>
      <c r="E29" s="242"/>
      <c r="F29" s="242"/>
      <c r="G29" s="266"/>
      <c r="H29" s="266"/>
      <c r="I29" s="242"/>
      <c r="J29" s="176" t="s">
        <v>148</v>
      </c>
      <c r="K29" s="187" t="s">
        <v>162</v>
      </c>
      <c r="L29" s="267"/>
      <c r="M29" s="7">
        <v>1</v>
      </c>
      <c r="N29" s="7">
        <v>1</v>
      </c>
      <c r="O29" s="7"/>
      <c r="P29" s="7"/>
      <c r="Q29" s="210"/>
      <c r="S29" s="64">
        <v>22</v>
      </c>
      <c r="U29" s="7">
        <v>1</v>
      </c>
    </row>
    <row r="30" spans="1:23" s="261" customFormat="1" ht="15.75" hidden="1">
      <c r="A30" s="220"/>
      <c r="B30" s="215"/>
      <c r="C30" s="264"/>
      <c r="D30" s="241"/>
      <c r="E30" s="242"/>
      <c r="F30" s="242"/>
      <c r="G30" s="266"/>
      <c r="H30" s="266"/>
      <c r="I30" s="242"/>
      <c r="J30" s="176" t="s">
        <v>148</v>
      </c>
      <c r="K30" s="187" t="s">
        <v>68</v>
      </c>
      <c r="L30" s="190">
        <v>8</v>
      </c>
      <c r="M30" s="7">
        <v>3</v>
      </c>
      <c r="N30" s="7">
        <v>3</v>
      </c>
      <c r="O30" s="7"/>
      <c r="P30" s="7"/>
      <c r="Q30" s="210"/>
      <c r="S30" s="64" t="s">
        <v>220</v>
      </c>
      <c r="U30" s="7">
        <v>1</v>
      </c>
    </row>
    <row r="31" spans="1:23" s="261" customFormat="1" ht="15.75" hidden="1">
      <c r="A31" s="220"/>
      <c r="B31" s="215"/>
      <c r="C31" s="264"/>
      <c r="D31" s="241"/>
      <c r="E31" s="242"/>
      <c r="F31" s="242"/>
      <c r="G31" s="266"/>
      <c r="H31" s="266"/>
      <c r="I31" s="242"/>
      <c r="J31" s="176" t="s">
        <v>148</v>
      </c>
      <c r="K31" s="187" t="s">
        <v>57</v>
      </c>
      <c r="L31" s="190">
        <v>28</v>
      </c>
      <c r="M31" s="7">
        <v>1</v>
      </c>
      <c r="N31" s="7">
        <v>1</v>
      </c>
      <c r="O31" s="7"/>
      <c r="P31" s="7"/>
      <c r="Q31" s="210"/>
      <c r="S31" s="64">
        <v>26</v>
      </c>
      <c r="U31" s="7">
        <v>2</v>
      </c>
    </row>
    <row r="32" spans="1:23" s="261" customFormat="1" ht="15.75" hidden="1">
      <c r="A32" s="220"/>
      <c r="B32" s="215"/>
      <c r="C32" s="264"/>
      <c r="D32" s="241"/>
      <c r="E32" s="242"/>
      <c r="F32" s="242"/>
      <c r="G32" s="266"/>
      <c r="H32" s="266"/>
      <c r="I32" s="242"/>
      <c r="J32" s="176" t="s">
        <v>148</v>
      </c>
      <c r="K32" s="187" t="s">
        <v>91</v>
      </c>
      <c r="L32" s="267"/>
      <c r="M32" s="7">
        <v>1</v>
      </c>
      <c r="N32" s="7">
        <v>1</v>
      </c>
      <c r="O32" s="7"/>
      <c r="P32" s="7"/>
      <c r="Q32" s="210"/>
      <c r="S32" s="64">
        <v>27</v>
      </c>
      <c r="U32" s="7">
        <v>2</v>
      </c>
    </row>
    <row r="33" spans="1:21" s="261" customFormat="1" ht="15.75" hidden="1">
      <c r="A33" s="220"/>
      <c r="B33" s="215"/>
      <c r="C33" s="264"/>
      <c r="D33" s="241"/>
      <c r="E33" s="242"/>
      <c r="F33" s="242"/>
      <c r="G33" s="266"/>
      <c r="H33" s="266"/>
      <c r="I33" s="242"/>
      <c r="J33" s="176" t="s">
        <v>148</v>
      </c>
      <c r="K33" s="187" t="s">
        <v>68</v>
      </c>
      <c r="L33" s="190">
        <v>8</v>
      </c>
      <c r="M33" s="7">
        <v>1</v>
      </c>
      <c r="N33" s="7">
        <v>1</v>
      </c>
      <c r="O33" s="7"/>
      <c r="P33" s="7"/>
      <c r="Q33" s="210"/>
      <c r="S33" s="64">
        <v>28</v>
      </c>
      <c r="U33" s="7">
        <v>1</v>
      </c>
    </row>
    <row r="34" spans="1:21" s="261" customFormat="1" ht="15.75" hidden="1">
      <c r="A34" s="220"/>
      <c r="B34" s="215"/>
      <c r="C34" s="264"/>
      <c r="D34" s="241"/>
      <c r="E34" s="242"/>
      <c r="F34" s="242"/>
      <c r="G34" s="266"/>
      <c r="H34" s="266"/>
      <c r="I34" s="242"/>
      <c r="J34" s="176" t="s">
        <v>148</v>
      </c>
      <c r="K34" s="187" t="s">
        <v>213</v>
      </c>
      <c r="L34" s="190">
        <v>12</v>
      </c>
      <c r="M34" s="7">
        <v>1</v>
      </c>
      <c r="N34" s="7">
        <v>1</v>
      </c>
      <c r="O34" s="7"/>
      <c r="P34" s="7"/>
      <c r="Q34" s="210"/>
      <c r="S34" s="64">
        <v>29</v>
      </c>
      <c r="U34" s="7">
        <v>1</v>
      </c>
    </row>
    <row r="35" spans="1:21" s="261" customFormat="1" ht="15.75" hidden="1">
      <c r="A35" s="220"/>
      <c r="B35" s="215"/>
      <c r="C35" s="264"/>
      <c r="D35" s="241"/>
      <c r="E35" s="242"/>
      <c r="F35" s="242"/>
      <c r="G35" s="266"/>
      <c r="H35" s="266"/>
      <c r="I35" s="242"/>
      <c r="J35" s="176" t="s">
        <v>148</v>
      </c>
      <c r="K35" s="187" t="s">
        <v>161</v>
      </c>
      <c r="L35" s="267"/>
      <c r="M35" s="7">
        <v>1</v>
      </c>
      <c r="N35" s="7">
        <v>1</v>
      </c>
      <c r="O35" s="7"/>
      <c r="P35" s="7"/>
      <c r="Q35" s="210"/>
      <c r="S35" s="64">
        <v>30</v>
      </c>
      <c r="U35" s="7">
        <v>1</v>
      </c>
    </row>
    <row r="36" spans="1:21" s="261" customFormat="1" ht="15.75" hidden="1">
      <c r="A36" s="220"/>
      <c r="B36" s="215"/>
      <c r="C36" s="264"/>
      <c r="D36" s="241"/>
      <c r="E36" s="242"/>
      <c r="F36" s="242"/>
      <c r="G36" s="242"/>
      <c r="H36" s="242"/>
      <c r="I36" s="242"/>
      <c r="J36" s="176" t="s">
        <v>148</v>
      </c>
      <c r="K36" s="187" t="s">
        <v>213</v>
      </c>
      <c r="L36" s="190">
        <v>12</v>
      </c>
      <c r="M36" s="7">
        <v>1</v>
      </c>
      <c r="N36" s="7">
        <v>1</v>
      </c>
      <c r="O36" s="7"/>
      <c r="P36" s="7"/>
      <c r="Q36" s="210"/>
      <c r="S36" s="64">
        <v>31</v>
      </c>
      <c r="U36" s="7">
        <v>1</v>
      </c>
    </row>
    <row r="37" spans="1:21" s="261" customFormat="1" ht="15.75" hidden="1">
      <c r="A37" s="220"/>
      <c r="B37" s="215"/>
      <c r="C37" s="264"/>
      <c r="D37" s="241"/>
      <c r="E37" s="242"/>
      <c r="F37" s="242"/>
      <c r="G37" s="242"/>
      <c r="H37" s="242"/>
      <c r="I37" s="242"/>
      <c r="J37" s="176" t="s">
        <v>148</v>
      </c>
      <c r="K37" s="187" t="s">
        <v>68</v>
      </c>
      <c r="L37" s="190">
        <v>8</v>
      </c>
      <c r="M37" s="7">
        <v>1</v>
      </c>
      <c r="N37" s="7">
        <v>1</v>
      </c>
      <c r="O37" s="7"/>
      <c r="P37" s="7"/>
      <c r="Q37" s="210"/>
      <c r="S37" s="64">
        <v>32</v>
      </c>
      <c r="U37" s="7">
        <v>1</v>
      </c>
    </row>
    <row r="38" spans="1:21" s="261" customFormat="1" ht="15.75" hidden="1">
      <c r="A38" s="220"/>
      <c r="B38" s="215"/>
      <c r="C38" s="264"/>
      <c r="D38" s="241"/>
      <c r="E38" s="242"/>
      <c r="F38" s="242"/>
      <c r="G38" s="242"/>
      <c r="H38" s="242"/>
      <c r="I38" s="242"/>
      <c r="J38" s="176" t="s">
        <v>148</v>
      </c>
      <c r="K38" s="187" t="s">
        <v>213</v>
      </c>
      <c r="L38" s="190">
        <v>12</v>
      </c>
      <c r="M38" s="7">
        <v>1</v>
      </c>
      <c r="N38" s="7">
        <v>1</v>
      </c>
      <c r="O38" s="7"/>
      <c r="P38" s="7"/>
      <c r="Q38" s="210"/>
      <c r="S38" s="64">
        <v>33</v>
      </c>
      <c r="U38" s="7">
        <v>1</v>
      </c>
    </row>
    <row r="39" spans="1:21" s="261" customFormat="1" ht="15.75" hidden="1">
      <c r="A39" s="220"/>
      <c r="B39" s="215"/>
      <c r="C39" s="264"/>
      <c r="D39" s="241"/>
      <c r="E39" s="242"/>
      <c r="F39" s="242"/>
      <c r="G39" s="242"/>
      <c r="H39" s="242"/>
      <c r="I39" s="242"/>
      <c r="J39" s="176" t="s">
        <v>148</v>
      </c>
      <c r="K39" s="187" t="s">
        <v>68</v>
      </c>
      <c r="L39" s="190">
        <v>8</v>
      </c>
      <c r="M39" s="7">
        <v>1</v>
      </c>
      <c r="N39" s="7">
        <v>1</v>
      </c>
      <c r="O39" s="7"/>
      <c r="P39" s="7"/>
      <c r="Q39" s="210"/>
      <c r="S39" s="64" t="s">
        <v>221</v>
      </c>
      <c r="U39" s="143"/>
    </row>
    <row r="40" spans="1:21" s="261" customFormat="1" ht="15.75" hidden="1">
      <c r="A40" s="220"/>
      <c r="B40" s="215"/>
      <c r="C40" s="264"/>
      <c r="D40" s="241"/>
      <c r="E40" s="242"/>
      <c r="F40" s="242"/>
      <c r="G40" s="242"/>
      <c r="H40" s="242"/>
      <c r="I40" s="242"/>
      <c r="J40" s="176" t="s">
        <v>148</v>
      </c>
      <c r="K40" s="187" t="s">
        <v>161</v>
      </c>
      <c r="L40" s="190">
        <v>12</v>
      </c>
      <c r="M40" s="7">
        <v>1</v>
      </c>
      <c r="N40" s="7">
        <v>1</v>
      </c>
      <c r="O40" s="7"/>
      <c r="P40" s="7"/>
      <c r="Q40" s="210"/>
      <c r="S40" s="64">
        <v>39</v>
      </c>
      <c r="U40" s="143"/>
    </row>
    <row r="41" spans="1:21" s="261" customFormat="1" ht="15.75" hidden="1">
      <c r="A41" s="220"/>
      <c r="B41" s="215"/>
      <c r="C41" s="264"/>
      <c r="D41" s="241"/>
      <c r="E41" s="242"/>
      <c r="F41" s="242"/>
      <c r="G41" s="242"/>
      <c r="H41" s="242"/>
      <c r="I41" s="242"/>
      <c r="J41" s="176" t="s">
        <v>148</v>
      </c>
      <c r="K41" s="187" t="s">
        <v>68</v>
      </c>
      <c r="L41" s="190">
        <v>8</v>
      </c>
      <c r="M41" s="7">
        <v>1</v>
      </c>
      <c r="N41" s="7">
        <v>1</v>
      </c>
      <c r="O41" s="7"/>
      <c r="P41" s="7"/>
      <c r="Q41" s="210"/>
      <c r="S41" s="229">
        <v>40</v>
      </c>
      <c r="U41" s="143"/>
    </row>
    <row r="42" spans="1:21" s="261" customFormat="1" ht="15.75" hidden="1">
      <c r="A42" s="220"/>
      <c r="B42" s="215"/>
      <c r="C42" s="264"/>
      <c r="D42" s="241"/>
      <c r="E42" s="242"/>
      <c r="F42" s="242"/>
      <c r="G42" s="242"/>
      <c r="H42" s="242"/>
      <c r="I42" s="242"/>
      <c r="J42" s="176" t="s">
        <v>148</v>
      </c>
      <c r="K42" s="187" t="s">
        <v>161</v>
      </c>
      <c r="L42" s="190">
        <v>12</v>
      </c>
      <c r="M42" s="7">
        <v>1</v>
      </c>
      <c r="N42" s="7">
        <v>1</v>
      </c>
      <c r="O42" s="7"/>
      <c r="P42" s="7"/>
      <c r="Q42" s="210"/>
      <c r="S42" s="229">
        <v>41</v>
      </c>
      <c r="U42" s="143"/>
    </row>
    <row r="43" spans="1:21" s="261" customFormat="1" ht="15.75" hidden="1">
      <c r="A43" s="220"/>
      <c r="B43" s="215"/>
      <c r="C43" s="264"/>
      <c r="D43" s="241"/>
      <c r="E43" s="242"/>
      <c r="F43" s="242"/>
      <c r="G43" s="242"/>
      <c r="H43" s="242"/>
      <c r="I43" s="242"/>
      <c r="J43" s="176" t="s">
        <v>148</v>
      </c>
      <c r="K43" s="187" t="s">
        <v>68</v>
      </c>
      <c r="L43" s="190">
        <v>8</v>
      </c>
      <c r="M43" s="7">
        <v>1</v>
      </c>
      <c r="N43" s="7">
        <v>1</v>
      </c>
      <c r="O43" s="7"/>
      <c r="P43" s="7"/>
      <c r="Q43" s="210"/>
      <c r="S43" s="229">
        <v>42</v>
      </c>
      <c r="U43" s="143"/>
    </row>
    <row r="44" spans="1:21" s="261" customFormat="1" ht="15.75" hidden="1">
      <c r="A44" s="220"/>
      <c r="B44" s="215"/>
      <c r="C44" s="264"/>
      <c r="D44" s="241"/>
      <c r="E44" s="242"/>
      <c r="F44" s="242"/>
      <c r="G44" s="242"/>
      <c r="H44" s="242"/>
      <c r="I44" s="242"/>
      <c r="J44" s="176" t="s">
        <v>148</v>
      </c>
      <c r="K44" s="187" t="s">
        <v>68</v>
      </c>
      <c r="L44" s="190">
        <v>8</v>
      </c>
      <c r="M44" s="7">
        <v>1</v>
      </c>
      <c r="N44" s="7">
        <v>1</v>
      </c>
      <c r="O44" s="7"/>
      <c r="P44" s="7"/>
      <c r="Q44" s="210"/>
      <c r="S44" s="229">
        <v>43</v>
      </c>
      <c r="U44" s="143"/>
    </row>
    <row r="45" spans="1:21" s="261" customFormat="1" ht="15.75" hidden="1">
      <c r="A45" s="220"/>
      <c r="B45" s="215"/>
      <c r="C45" s="264"/>
      <c r="D45" s="241"/>
      <c r="E45" s="242"/>
      <c r="F45" s="242"/>
      <c r="G45" s="242"/>
      <c r="H45" s="242"/>
      <c r="I45" s="242"/>
      <c r="J45" s="176" t="s">
        <v>148</v>
      </c>
      <c r="K45" s="187" t="s">
        <v>57</v>
      </c>
      <c r="L45" s="190">
        <v>28</v>
      </c>
      <c r="M45" s="7">
        <v>1</v>
      </c>
      <c r="N45" s="7">
        <v>1</v>
      </c>
      <c r="O45" s="7"/>
      <c r="P45" s="7"/>
      <c r="Q45" s="210"/>
      <c r="S45" s="229">
        <v>44</v>
      </c>
      <c r="U45" s="143"/>
    </row>
    <row r="46" spans="1:21" s="261" customFormat="1" ht="15.75" hidden="1">
      <c r="A46" s="220"/>
      <c r="B46" s="215"/>
      <c r="C46" s="264"/>
      <c r="D46" s="241"/>
      <c r="E46" s="242"/>
      <c r="F46" s="242"/>
      <c r="G46" s="242"/>
      <c r="H46" s="242"/>
      <c r="I46" s="242"/>
      <c r="J46" s="176" t="s">
        <v>148</v>
      </c>
      <c r="K46" s="187" t="s">
        <v>57</v>
      </c>
      <c r="L46" s="190">
        <v>24</v>
      </c>
      <c r="M46" s="7">
        <v>1</v>
      </c>
      <c r="N46" s="7">
        <v>1</v>
      </c>
      <c r="O46" s="7"/>
      <c r="P46" s="7"/>
      <c r="Q46" s="210"/>
      <c r="S46" s="229">
        <v>45</v>
      </c>
      <c r="U46" s="143"/>
    </row>
    <row r="47" spans="1:21" s="261" customFormat="1" ht="15.75" hidden="1">
      <c r="A47" s="220"/>
      <c r="B47" s="215"/>
      <c r="C47" s="264"/>
      <c r="D47" s="241"/>
      <c r="E47" s="242"/>
      <c r="F47" s="242"/>
      <c r="G47" s="242"/>
      <c r="H47" s="242"/>
      <c r="I47" s="242"/>
      <c r="J47" s="176" t="s">
        <v>2</v>
      </c>
      <c r="K47" s="268" t="s">
        <v>222</v>
      </c>
      <c r="L47" s="7"/>
      <c r="M47" s="7">
        <v>1</v>
      </c>
      <c r="N47" s="7">
        <v>1</v>
      </c>
      <c r="O47" s="7"/>
      <c r="P47" s="7"/>
      <c r="Q47" s="210"/>
      <c r="S47" s="274" t="s">
        <v>223</v>
      </c>
      <c r="U47" s="204">
        <f>SUM(U22:U38)</f>
        <v>26</v>
      </c>
    </row>
    <row r="48" spans="1:21" s="261" customFormat="1" ht="15.75" hidden="1">
      <c r="A48" s="220"/>
      <c r="B48" s="215"/>
      <c r="C48" s="264"/>
      <c r="D48" s="241"/>
      <c r="E48" s="242"/>
      <c r="F48" s="242"/>
      <c r="G48" s="242"/>
      <c r="H48" s="242"/>
      <c r="I48" s="242"/>
      <c r="J48" s="176" t="s">
        <v>2</v>
      </c>
      <c r="K48" s="187" t="s">
        <v>163</v>
      </c>
      <c r="L48" s="7"/>
      <c r="M48" s="7">
        <v>3</v>
      </c>
      <c r="N48" s="7">
        <v>3</v>
      </c>
      <c r="O48" s="7"/>
      <c r="P48" s="7"/>
      <c r="Q48" s="210"/>
      <c r="S48" s="274" t="s">
        <v>224</v>
      </c>
      <c r="U48" s="204"/>
    </row>
    <row r="49" spans="1:25" s="261" customFormat="1" ht="15.75" hidden="1">
      <c r="A49" s="220"/>
      <c r="B49" s="215"/>
      <c r="C49" s="264"/>
      <c r="D49" s="241"/>
      <c r="E49" s="242"/>
      <c r="F49" s="242"/>
      <c r="G49" s="242"/>
      <c r="H49" s="242"/>
      <c r="I49" s="242"/>
      <c r="J49" s="176" t="s">
        <v>2</v>
      </c>
      <c r="K49" s="187" t="s">
        <v>225</v>
      </c>
      <c r="L49" s="7"/>
      <c r="M49" s="7">
        <v>1</v>
      </c>
      <c r="N49" s="7">
        <v>1</v>
      </c>
      <c r="O49" s="7"/>
      <c r="P49" s="7"/>
      <c r="Q49" s="210"/>
      <c r="S49" s="274" t="s">
        <v>226</v>
      </c>
      <c r="U49" s="204"/>
    </row>
    <row r="50" spans="1:25" s="261" customFormat="1" ht="15.75" hidden="1">
      <c r="A50" s="220"/>
      <c r="B50" s="215"/>
      <c r="C50" s="264"/>
      <c r="D50" s="241"/>
      <c r="E50" s="242"/>
      <c r="F50" s="242"/>
      <c r="G50" s="242"/>
      <c r="H50" s="242"/>
      <c r="I50" s="242"/>
      <c r="J50" s="176" t="s">
        <v>2</v>
      </c>
      <c r="K50" s="187" t="s">
        <v>92</v>
      </c>
      <c r="L50" s="7"/>
      <c r="M50" s="7">
        <v>1</v>
      </c>
      <c r="N50" s="7">
        <v>1</v>
      </c>
      <c r="O50" s="7"/>
      <c r="P50" s="7"/>
      <c r="Q50" s="210"/>
      <c r="S50" s="274" t="s">
        <v>227</v>
      </c>
      <c r="U50" s="204"/>
    </row>
    <row r="51" spans="1:25" s="261" customFormat="1" ht="15.75" hidden="1">
      <c r="A51" s="220"/>
      <c r="B51" s="215"/>
      <c r="C51" s="264"/>
      <c r="D51" s="241"/>
      <c r="E51" s="242"/>
      <c r="F51" s="242"/>
      <c r="G51" s="242"/>
      <c r="H51" s="242"/>
      <c r="I51" s="242"/>
      <c r="J51" s="176" t="s">
        <v>2</v>
      </c>
      <c r="K51" s="187" t="s">
        <v>155</v>
      </c>
      <c r="L51" s="190"/>
      <c r="M51" s="190">
        <v>1</v>
      </c>
      <c r="N51" s="190">
        <v>1</v>
      </c>
      <c r="O51" s="190"/>
      <c r="P51" s="190"/>
      <c r="Q51" s="210"/>
      <c r="S51" s="274" t="s">
        <v>228</v>
      </c>
    </row>
    <row r="52" spans="1:25" s="153" customFormat="1" ht="14.25" hidden="1" thickBot="1">
      <c r="A52" s="224" t="s">
        <v>164</v>
      </c>
      <c r="B52" s="225"/>
      <c r="C52" s="255" t="e">
        <f>#REF!</f>
        <v>#REF!</v>
      </c>
      <c r="D52" s="256"/>
      <c r="E52" s="255" t="e">
        <f>#REF!</f>
        <v>#REF!</v>
      </c>
      <c r="F52" s="255" t="e">
        <f>#REF!</f>
        <v>#REF!</v>
      </c>
      <c r="G52" s="226" t="e">
        <f t="shared" ref="G52" si="5">F52/E52*100</f>
        <v>#REF!</v>
      </c>
      <c r="H52" s="255" t="e">
        <f>#REF!</f>
        <v>#REF!</v>
      </c>
      <c r="I52" s="226" t="e">
        <f>SUM(M22:M38)/E52</f>
        <v>#REF!</v>
      </c>
      <c r="J52" s="227"/>
      <c r="K52" s="228"/>
      <c r="L52" s="221"/>
      <c r="M52" s="222">
        <f>SUM(M22:M51)</f>
        <v>40</v>
      </c>
      <c r="N52" s="222">
        <f>SUM(N22:N51)</f>
        <v>40</v>
      </c>
      <c r="O52" s="222">
        <f>SUM(O22:O51)</f>
        <v>0</v>
      </c>
      <c r="P52" s="222">
        <f>SUM(P22:P51)</f>
        <v>0</v>
      </c>
      <c r="Q52" s="253"/>
      <c r="R52" s="261"/>
      <c r="S52" s="273"/>
      <c r="T52" s="261"/>
      <c r="U52" s="261"/>
      <c r="V52" s="261"/>
      <c r="W52" s="261"/>
      <c r="X52" s="261"/>
      <c r="Y52" s="261"/>
    </row>
    <row r="53" spans="1:25" s="153" customFormat="1" ht="13.5" hidden="1">
      <c r="A53" s="232" t="s">
        <v>120</v>
      </c>
      <c r="B53" s="233"/>
      <c r="C53" s="245" t="e">
        <f>C49+C27+C14+C6</f>
        <v>#REF!</v>
      </c>
      <c r="D53" s="235"/>
      <c r="E53" s="234" t="e">
        <f>E49+E27+E14+E6</f>
        <v>#REF!</v>
      </c>
      <c r="F53" s="234" t="e">
        <f>F49+F27+F14+F6</f>
        <v>#REF!</v>
      </c>
      <c r="G53" s="236" t="e">
        <f>F53/E53*100</f>
        <v>#REF!</v>
      </c>
      <c r="H53" s="234" t="e">
        <f>H49+H27+H14+H6</f>
        <v>#REF!</v>
      </c>
      <c r="I53" s="237" t="e">
        <f>4/E53</f>
        <v>#REF!</v>
      </c>
      <c r="J53" s="238"/>
      <c r="K53" s="239"/>
      <c r="L53" s="223"/>
      <c r="M53" s="240" t="e">
        <f>#REF!+M48+M25+M13</f>
        <v>#REF!</v>
      </c>
      <c r="N53" s="240" t="e">
        <f>#REF!+N48+N25+N13</f>
        <v>#REF!</v>
      </c>
      <c r="O53" s="240" t="e">
        <f>#REF!+O48+O25+O13</f>
        <v>#REF!</v>
      </c>
      <c r="P53" s="240" t="e">
        <f>#REF!+P48+P25+P13</f>
        <v>#REF!</v>
      </c>
      <c r="Q53" s="254"/>
      <c r="R53" s="231" t="e">
        <f>N53+O53+P53</f>
        <v>#REF!</v>
      </c>
      <c r="S53" s="273"/>
      <c r="T53" s="188"/>
      <c r="U53" s="188"/>
      <c r="V53" s="188"/>
      <c r="W53" s="188"/>
      <c r="X53" s="188"/>
      <c r="Y53" s="188"/>
    </row>
    <row r="54" spans="1:25" s="153" customFormat="1" ht="14.25" hidden="1" thickBot="1">
      <c r="A54" s="177"/>
      <c r="B54" s="203"/>
      <c r="C54" s="197"/>
      <c r="D54" s="198"/>
      <c r="E54" s="167"/>
      <c r="F54" s="167"/>
      <c r="G54" s="167"/>
      <c r="H54" s="167"/>
      <c r="I54" s="152"/>
      <c r="J54" s="199"/>
      <c r="K54" s="200"/>
      <c r="L54" s="201"/>
      <c r="M54" s="202">
        <f>M26</f>
        <v>7</v>
      </c>
      <c r="N54" s="202">
        <f>N26</f>
        <v>7</v>
      </c>
      <c r="O54" s="202"/>
      <c r="P54" s="202"/>
      <c r="Q54" s="211"/>
      <c r="R54" s="173"/>
      <c r="S54" s="273"/>
      <c r="T54" s="173"/>
      <c r="U54" s="173"/>
      <c r="V54" s="173"/>
      <c r="W54" s="173"/>
      <c r="X54" s="173"/>
      <c r="Y54" s="173"/>
    </row>
    <row r="55" spans="1:25">
      <c r="A55" s="141"/>
      <c r="B55" s="157"/>
      <c r="C55" s="178"/>
      <c r="D55" s="159"/>
      <c r="E55" s="154"/>
      <c r="F55" s="154"/>
      <c r="G55" s="154"/>
      <c r="H55" s="142"/>
      <c r="I55" s="142"/>
      <c r="J55" s="143"/>
      <c r="K55" s="144"/>
      <c r="L55" s="145"/>
      <c r="M55" s="146"/>
      <c r="N55" s="143"/>
      <c r="O55" s="143"/>
      <c r="P55" s="143"/>
      <c r="Q55" s="143"/>
    </row>
    <row r="56" spans="1:25" ht="53.25" customHeight="1">
      <c r="A56" s="141"/>
      <c r="B56" s="157"/>
      <c r="C56" s="178"/>
      <c r="D56" s="159"/>
      <c r="E56" s="154"/>
      <c r="F56" s="154"/>
      <c r="G56" s="154"/>
      <c r="H56" s="142"/>
      <c r="I56" s="142"/>
      <c r="J56" s="143"/>
      <c r="K56" s="144"/>
      <c r="L56" s="145"/>
      <c r="M56" s="146"/>
      <c r="N56" s="143"/>
      <c r="O56" s="143"/>
      <c r="P56" s="143"/>
      <c r="Q56" s="143"/>
    </row>
    <row r="57" spans="1:25" ht="14.25" customHeight="1">
      <c r="A57" s="141"/>
      <c r="B57" s="296" t="s">
        <v>121</v>
      </c>
      <c r="C57" s="296"/>
      <c r="D57" s="296"/>
      <c r="E57" s="172">
        <v>43262</v>
      </c>
      <c r="F57" s="154" t="s">
        <v>122</v>
      </c>
      <c r="G57" s="172">
        <v>43265</v>
      </c>
      <c r="H57" s="142"/>
      <c r="I57" s="142"/>
      <c r="J57" s="143"/>
      <c r="K57" s="144"/>
      <c r="L57" s="145"/>
      <c r="M57" s="146"/>
      <c r="N57" s="143"/>
      <c r="O57" s="143"/>
      <c r="P57" s="143"/>
      <c r="Q57" s="143"/>
    </row>
    <row r="58" spans="1:25" ht="33" customHeight="1">
      <c r="A58" s="155"/>
      <c r="B58" s="158"/>
      <c r="C58" s="178"/>
      <c r="D58" s="180"/>
      <c r="E58" s="180"/>
      <c r="F58" s="180"/>
      <c r="G58" s="180"/>
      <c r="H58" s="148"/>
      <c r="I58" s="148"/>
      <c r="J58" s="147"/>
      <c r="K58" s="147"/>
      <c r="L58" s="149"/>
      <c r="M58" s="151"/>
      <c r="N58" s="150"/>
      <c r="O58" s="150"/>
      <c r="P58" s="147"/>
      <c r="Q58" s="230"/>
    </row>
    <row r="59" spans="1:25" ht="15" customHeight="1">
      <c r="B59" s="296" t="s">
        <v>229</v>
      </c>
      <c r="C59" s="296"/>
      <c r="D59" s="296"/>
      <c r="E59" s="296"/>
      <c r="F59" s="296"/>
      <c r="G59" s="296"/>
      <c r="H59" s="296"/>
      <c r="I59" s="296"/>
      <c r="K59" s="168" t="s">
        <v>230</v>
      </c>
    </row>
    <row r="62" spans="1:25" ht="13.5">
      <c r="J62" s="175" t="s">
        <v>147</v>
      </c>
      <c r="O62" s="175"/>
    </row>
    <row r="63" spans="1:25">
      <c r="J63" s="169" t="s">
        <v>140</v>
      </c>
      <c r="K63" s="169" t="s">
        <v>141</v>
      </c>
    </row>
    <row r="64" spans="1:25">
      <c r="J64" s="169"/>
      <c r="K64" s="169" t="s">
        <v>142</v>
      </c>
    </row>
    <row r="65" spans="10:11">
      <c r="J65" s="169"/>
      <c r="K65" s="169" t="s">
        <v>143</v>
      </c>
    </row>
    <row r="66" spans="10:11">
      <c r="J66" s="169"/>
      <c r="K66" s="169" t="s">
        <v>144</v>
      </c>
    </row>
    <row r="67" spans="10:11">
      <c r="J67" s="169"/>
      <c r="K67" s="169" t="s">
        <v>145</v>
      </c>
    </row>
    <row r="68" spans="10:11">
      <c r="J68" s="169"/>
      <c r="K68" s="169" t="s">
        <v>146</v>
      </c>
    </row>
  </sheetData>
  <autoFilter ref="A5:Y54"/>
  <sortState ref="K35:Q41">
    <sortCondition ref="K35:K41"/>
  </sortState>
  <mergeCells count="28">
    <mergeCell ref="R3:R4"/>
    <mergeCell ref="S3:S4"/>
    <mergeCell ref="L3:L4"/>
    <mergeCell ref="K3:K4"/>
    <mergeCell ref="J2:Q2"/>
    <mergeCell ref="B59:I59"/>
    <mergeCell ref="A1:Q1"/>
    <mergeCell ref="D2:D4"/>
    <mergeCell ref="A2:A4"/>
    <mergeCell ref="J3:J4"/>
    <mergeCell ref="C2:C4"/>
    <mergeCell ref="B2:B4"/>
    <mergeCell ref="E2:H2"/>
    <mergeCell ref="E3:E4"/>
    <mergeCell ref="F3:G3"/>
    <mergeCell ref="H3:H4"/>
    <mergeCell ref="I2:I4"/>
    <mergeCell ref="M3:M4"/>
    <mergeCell ref="N3:Q3"/>
    <mergeCell ref="B57:D57"/>
    <mergeCell ref="C6:C11"/>
    <mergeCell ref="B6:B11"/>
    <mergeCell ref="G6:G11"/>
    <mergeCell ref="H6:H11"/>
    <mergeCell ref="I6:I11"/>
    <mergeCell ref="D6:D11"/>
    <mergeCell ref="E6:E11"/>
    <mergeCell ref="F6:F11"/>
  </mergeCells>
  <phoneticPr fontId="8" type="noConversion"/>
  <pageMargins left="0.35433070866141736" right="0.27559055118110237" top="0.51181102362204722" bottom="0.31496062992125984" header="0.51181102362204722" footer="0.19685039370078741"/>
  <pageSetup paperSize="9" scale="85" fitToHeight="1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2"/>
  <sheetViews>
    <sheetView view="pageBreakPreview" zoomScale="90" zoomScaleNormal="90" zoomScaleSheetLayoutView="90" workbookViewId="0">
      <selection activeCell="A7" sqref="A7"/>
    </sheetView>
  </sheetViews>
  <sheetFormatPr defaultRowHeight="12.75"/>
  <cols>
    <col min="1" max="1" width="6.42578125" style="156" bestFit="1" customWidth="1"/>
    <col min="2" max="2" width="15.42578125" style="137" customWidth="1"/>
    <col min="3" max="3" width="10" style="182" customWidth="1"/>
    <col min="4" max="4" width="8.140625" style="181" customWidth="1"/>
    <col min="5" max="5" width="10.85546875" style="181" bestFit="1" customWidth="1"/>
    <col min="6" max="6" width="6.42578125" style="181" bestFit="1" customWidth="1"/>
    <col min="7" max="7" width="10.7109375" style="156" customWidth="1"/>
    <col min="8" max="8" width="10" style="181" customWidth="1"/>
    <col min="9" max="9" width="7.140625" style="181" customWidth="1"/>
    <col min="10" max="10" width="13.7109375" style="261" customWidth="1"/>
    <col min="11" max="11" width="27.140625" style="261" customWidth="1"/>
    <col min="12" max="12" width="12.5703125" style="261" hidden="1" customWidth="1"/>
    <col min="13" max="13" width="11.42578125" style="33" bestFit="1" customWidth="1"/>
    <col min="14" max="14" width="8.28515625" style="261" bestFit="1" customWidth="1"/>
    <col min="15" max="17" width="7.28515625" style="261" bestFit="1" customWidth="1"/>
    <col min="18" max="18" width="14.85546875" style="261" bestFit="1" customWidth="1"/>
    <col min="19" max="19" width="8" style="273" bestFit="1" customWidth="1"/>
    <col min="20" max="20" width="5.85546875" style="261" bestFit="1" customWidth="1"/>
    <col min="21" max="21" width="6.5703125" style="261" bestFit="1" customWidth="1"/>
    <col min="22" max="22" width="8.5703125" style="261" bestFit="1" customWidth="1"/>
    <col min="23" max="23" width="9" style="261" bestFit="1" customWidth="1"/>
    <col min="24" max="24" width="10.140625" style="261" bestFit="1" customWidth="1"/>
    <col min="25" max="25" width="3.42578125" style="261" bestFit="1" customWidth="1"/>
    <col min="26" max="16384" width="9.140625" style="261"/>
  </cols>
  <sheetData>
    <row r="1" spans="1:25" ht="18.75" customHeight="1" thickBot="1">
      <c r="A1" s="297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183"/>
      <c r="S1" s="269"/>
    </row>
    <row r="2" spans="1:25" ht="41.25" customHeight="1">
      <c r="A2" s="301" t="s">
        <v>103</v>
      </c>
      <c r="B2" s="298" t="s">
        <v>117</v>
      </c>
      <c r="C2" s="298" t="s">
        <v>104</v>
      </c>
      <c r="D2" s="298" t="s">
        <v>118</v>
      </c>
      <c r="E2" s="308" t="s">
        <v>119</v>
      </c>
      <c r="F2" s="309"/>
      <c r="G2" s="309"/>
      <c r="H2" s="310"/>
      <c r="I2" s="298" t="s">
        <v>116</v>
      </c>
      <c r="J2" s="321" t="s">
        <v>109</v>
      </c>
      <c r="K2" s="322"/>
      <c r="L2" s="322"/>
      <c r="M2" s="322"/>
      <c r="N2" s="322"/>
      <c r="O2" s="322"/>
      <c r="P2" s="322"/>
      <c r="Q2" s="323"/>
      <c r="R2" s="184"/>
      <c r="S2" s="270"/>
    </row>
    <row r="3" spans="1:25" ht="51.75" customHeight="1">
      <c r="A3" s="302"/>
      <c r="B3" s="306"/>
      <c r="C3" s="306"/>
      <c r="D3" s="299"/>
      <c r="E3" s="311" t="s">
        <v>105</v>
      </c>
      <c r="F3" s="312" t="s">
        <v>106</v>
      </c>
      <c r="G3" s="313"/>
      <c r="H3" s="311" t="s">
        <v>108</v>
      </c>
      <c r="I3" s="306"/>
      <c r="J3" s="304" t="s">
        <v>110</v>
      </c>
      <c r="K3" s="304" t="s">
        <v>115</v>
      </c>
      <c r="L3" s="304" t="s">
        <v>111</v>
      </c>
      <c r="M3" s="304" t="s">
        <v>113</v>
      </c>
      <c r="N3" s="314" t="s">
        <v>114</v>
      </c>
      <c r="O3" s="315"/>
      <c r="P3" s="315"/>
      <c r="Q3" s="316"/>
      <c r="R3" s="317" t="s">
        <v>112</v>
      </c>
      <c r="S3" s="319" t="s">
        <v>139</v>
      </c>
    </row>
    <row r="4" spans="1:25" ht="95.25" customHeight="1" thickBot="1">
      <c r="A4" s="303"/>
      <c r="B4" s="307"/>
      <c r="C4" s="307"/>
      <c r="D4" s="300"/>
      <c r="E4" s="300"/>
      <c r="F4" s="139" t="s">
        <v>107</v>
      </c>
      <c r="G4" s="139" t="s">
        <v>8</v>
      </c>
      <c r="H4" s="300"/>
      <c r="I4" s="307"/>
      <c r="J4" s="305"/>
      <c r="K4" s="305"/>
      <c r="L4" s="305"/>
      <c r="M4" s="305"/>
      <c r="N4" s="174" t="s">
        <v>0</v>
      </c>
      <c r="O4" s="174" t="s">
        <v>3</v>
      </c>
      <c r="P4" s="174" t="s">
        <v>6</v>
      </c>
      <c r="Q4" s="206" t="s">
        <v>7</v>
      </c>
      <c r="R4" s="318"/>
      <c r="S4" s="320"/>
      <c r="T4" s="185" t="s">
        <v>149</v>
      </c>
      <c r="U4" s="185" t="s">
        <v>150</v>
      </c>
      <c r="V4" s="185" t="s">
        <v>151</v>
      </c>
      <c r="W4" s="185" t="s">
        <v>152</v>
      </c>
      <c r="X4" s="185" t="s">
        <v>153</v>
      </c>
      <c r="Y4" s="185" t="s">
        <v>154</v>
      </c>
    </row>
    <row r="5" spans="1:25" s="140" customFormat="1" ht="13.5" hidden="1" thickBot="1">
      <c r="A5" s="164" t="s">
        <v>1</v>
      </c>
      <c r="B5" s="165">
        <v>2</v>
      </c>
      <c r="C5" s="165">
        <v>3</v>
      </c>
      <c r="D5" s="165">
        <v>4</v>
      </c>
      <c r="E5" s="165">
        <v>5</v>
      </c>
      <c r="F5" s="165">
        <v>6</v>
      </c>
      <c r="G5" s="179">
        <v>7</v>
      </c>
      <c r="H5" s="165">
        <v>8</v>
      </c>
      <c r="I5" s="165">
        <v>9</v>
      </c>
      <c r="J5" s="166">
        <v>10</v>
      </c>
      <c r="K5" s="166">
        <v>11</v>
      </c>
      <c r="L5" s="166">
        <v>12</v>
      </c>
      <c r="M5" s="166">
        <v>13</v>
      </c>
      <c r="N5" s="166">
        <v>14</v>
      </c>
      <c r="O5" s="166">
        <v>15</v>
      </c>
      <c r="P5" s="166">
        <v>16</v>
      </c>
      <c r="Q5" s="207">
        <v>17</v>
      </c>
      <c r="R5" s="186">
        <v>18</v>
      </c>
      <c r="S5" s="271">
        <v>19</v>
      </c>
    </row>
    <row r="6" spans="1:25" ht="25.5">
      <c r="A6" s="219">
        <v>1</v>
      </c>
      <c r="B6" s="246" t="s">
        <v>217</v>
      </c>
      <c r="C6" s="279">
        <f>0.0535+0.1536</f>
        <v>0.20709999999999998</v>
      </c>
      <c r="D6" s="247" t="s">
        <v>123</v>
      </c>
      <c r="E6" s="248">
        <v>0.09</v>
      </c>
      <c r="F6" s="248">
        <v>0.02</v>
      </c>
      <c r="G6" s="281">
        <f>F6/E6*100</f>
        <v>22.222222222222225</v>
      </c>
      <c r="H6" s="281">
        <f>E6-F6</f>
        <v>6.9999999999999993E-2</v>
      </c>
      <c r="I6" s="248"/>
      <c r="J6" s="343" t="s">
        <v>148</v>
      </c>
      <c r="K6" s="344" t="s">
        <v>57</v>
      </c>
      <c r="L6" s="345">
        <v>16</v>
      </c>
      <c r="M6" s="346">
        <v>10</v>
      </c>
      <c r="N6" s="346">
        <v>10</v>
      </c>
      <c r="O6" s="346"/>
      <c r="P6" s="346"/>
      <c r="Q6" s="347"/>
      <c r="R6" s="342"/>
      <c r="S6" s="64">
        <v>1</v>
      </c>
      <c r="U6" s="261">
        <v>0.5</v>
      </c>
      <c r="V6" s="195">
        <f>S6*U6</f>
        <v>0.5</v>
      </c>
      <c r="W6" s="196">
        <f>M7*3.14*V6*V6/4</f>
        <v>1.37375</v>
      </c>
    </row>
    <row r="7" spans="1:25" ht="15.75">
      <c r="A7" s="220"/>
      <c r="B7" s="215"/>
      <c r="C7" s="280"/>
      <c r="D7" s="241"/>
      <c r="E7" s="242"/>
      <c r="F7" s="242"/>
      <c r="G7" s="282"/>
      <c r="H7" s="282"/>
      <c r="I7" s="242"/>
      <c r="J7" s="176" t="s">
        <v>148</v>
      </c>
      <c r="K7" s="187" t="s">
        <v>213</v>
      </c>
      <c r="L7" s="190">
        <v>12</v>
      </c>
      <c r="M7" s="7">
        <v>7</v>
      </c>
      <c r="N7" s="7">
        <v>7</v>
      </c>
      <c r="O7" s="348"/>
      <c r="P7" s="348"/>
      <c r="Q7" s="352"/>
      <c r="R7" s="342"/>
      <c r="S7" s="341">
        <v>2</v>
      </c>
      <c r="V7" s="195"/>
      <c r="W7" s="196"/>
    </row>
    <row r="8" spans="1:25">
      <c r="A8" s="353"/>
      <c r="B8" s="350"/>
      <c r="C8" s="351"/>
      <c r="D8" s="278"/>
      <c r="E8" s="278"/>
      <c r="F8" s="278"/>
      <c r="G8" s="349"/>
      <c r="H8" s="278"/>
      <c r="I8" s="278"/>
      <c r="J8" s="176" t="s">
        <v>148</v>
      </c>
      <c r="K8" s="187" t="s">
        <v>68</v>
      </c>
      <c r="L8" s="190">
        <v>8</v>
      </c>
      <c r="M8" s="7">
        <v>20</v>
      </c>
      <c r="N8" s="7">
        <v>20</v>
      </c>
      <c r="O8" s="7"/>
      <c r="P8" s="7"/>
      <c r="Q8" s="210"/>
    </row>
    <row r="9" spans="1:25" ht="15.75">
      <c r="A9" s="220"/>
      <c r="B9" s="215"/>
      <c r="C9" s="280"/>
      <c r="D9" s="241"/>
      <c r="E9" s="242"/>
      <c r="F9" s="242"/>
      <c r="G9" s="282"/>
      <c r="H9" s="282"/>
      <c r="I9" s="242"/>
      <c r="J9" s="176" t="s">
        <v>148</v>
      </c>
      <c r="K9" s="187" t="s">
        <v>161</v>
      </c>
      <c r="L9" s="190">
        <v>12</v>
      </c>
      <c r="M9" s="7">
        <v>4</v>
      </c>
      <c r="N9" s="7">
        <v>4</v>
      </c>
      <c r="O9" s="7"/>
      <c r="P9" s="7"/>
      <c r="Q9" s="210"/>
      <c r="S9" s="64" t="s">
        <v>219</v>
      </c>
      <c r="U9" s="7">
        <v>1</v>
      </c>
    </row>
    <row r="10" spans="1:25" ht="15.75">
      <c r="A10" s="220"/>
      <c r="B10" s="215"/>
      <c r="C10" s="280"/>
      <c r="D10" s="241"/>
      <c r="E10" s="242"/>
      <c r="F10" s="242"/>
      <c r="G10" s="282"/>
      <c r="H10" s="282"/>
      <c r="I10" s="242"/>
      <c r="J10" s="176" t="s">
        <v>148</v>
      </c>
      <c r="K10" s="187" t="s">
        <v>215</v>
      </c>
      <c r="L10" s="190"/>
      <c r="M10" s="7">
        <v>1</v>
      </c>
      <c r="N10" s="7">
        <v>1</v>
      </c>
      <c r="O10" s="7"/>
      <c r="P10" s="7"/>
      <c r="Q10" s="210"/>
      <c r="S10" s="64">
        <v>10</v>
      </c>
      <c r="U10" s="7">
        <v>4</v>
      </c>
    </row>
    <row r="11" spans="1:25" ht="15.75">
      <c r="A11" s="220"/>
      <c r="B11" s="215"/>
      <c r="C11" s="280"/>
      <c r="D11" s="241"/>
      <c r="E11" s="242"/>
      <c r="F11" s="242"/>
      <c r="G11" s="282"/>
      <c r="H11" s="282"/>
      <c r="I11" s="242"/>
      <c r="J11" s="176" t="s">
        <v>148</v>
      </c>
      <c r="K11" s="187" t="s">
        <v>162</v>
      </c>
      <c r="L11" s="190"/>
      <c r="M11" s="7">
        <v>1</v>
      </c>
      <c r="N11" s="7">
        <v>1</v>
      </c>
      <c r="O11" s="7"/>
      <c r="P11" s="7"/>
      <c r="Q11" s="210"/>
      <c r="S11" s="64">
        <v>21</v>
      </c>
      <c r="U11" s="7">
        <v>1</v>
      </c>
    </row>
    <row r="12" spans="1:25" ht="15.75">
      <c r="A12" s="220"/>
      <c r="B12" s="215"/>
      <c r="C12" s="280"/>
      <c r="D12" s="241"/>
      <c r="E12" s="242"/>
      <c r="F12" s="242"/>
      <c r="G12" s="282"/>
      <c r="H12" s="282"/>
      <c r="I12" s="242"/>
      <c r="J12" s="176" t="s">
        <v>148</v>
      </c>
      <c r="K12" s="187" t="s">
        <v>91</v>
      </c>
      <c r="L12" s="190"/>
      <c r="M12" s="7">
        <v>1</v>
      </c>
      <c r="N12" s="7">
        <v>1</v>
      </c>
      <c r="O12" s="7"/>
      <c r="P12" s="7"/>
      <c r="Q12" s="210"/>
      <c r="S12" s="64">
        <v>22</v>
      </c>
      <c r="U12" s="7">
        <v>1</v>
      </c>
    </row>
    <row r="13" spans="1:25" ht="15.75" hidden="1">
      <c r="A13" s="220"/>
      <c r="B13" s="215"/>
      <c r="C13" s="280"/>
      <c r="D13" s="241"/>
      <c r="E13" s="242"/>
      <c r="F13" s="242"/>
      <c r="G13" s="242"/>
      <c r="H13" s="242"/>
      <c r="I13" s="242"/>
      <c r="J13" s="176" t="s">
        <v>2</v>
      </c>
      <c r="K13" s="268" t="s">
        <v>222</v>
      </c>
      <c r="L13" s="7"/>
      <c r="M13" s="7">
        <v>1</v>
      </c>
      <c r="N13" s="7">
        <v>1</v>
      </c>
      <c r="O13" s="7"/>
      <c r="P13" s="7"/>
      <c r="Q13" s="210"/>
      <c r="S13" s="274" t="s">
        <v>223</v>
      </c>
      <c r="U13" s="204">
        <f>SUM(U10:U12)</f>
        <v>6</v>
      </c>
    </row>
    <row r="14" spans="1:25" ht="15.75" hidden="1">
      <c r="A14" s="220"/>
      <c r="B14" s="215"/>
      <c r="C14" s="280"/>
      <c r="D14" s="241"/>
      <c r="E14" s="242"/>
      <c r="F14" s="242"/>
      <c r="G14" s="242"/>
      <c r="H14" s="242"/>
      <c r="I14" s="242"/>
      <c r="J14" s="176" t="s">
        <v>2</v>
      </c>
      <c r="K14" s="187" t="s">
        <v>163</v>
      </c>
      <c r="L14" s="7"/>
      <c r="M14" s="7">
        <v>3</v>
      </c>
      <c r="N14" s="7">
        <v>3</v>
      </c>
      <c r="O14" s="7"/>
      <c r="P14" s="7"/>
      <c r="Q14" s="210"/>
      <c r="S14" s="274" t="s">
        <v>224</v>
      </c>
      <c r="U14" s="204"/>
    </row>
    <row r="15" spans="1:25" ht="15.75" hidden="1">
      <c r="A15" s="220"/>
      <c r="B15" s="215"/>
      <c r="C15" s="280"/>
      <c r="D15" s="241"/>
      <c r="E15" s="242"/>
      <c r="F15" s="242"/>
      <c r="G15" s="242"/>
      <c r="H15" s="242"/>
      <c r="I15" s="242"/>
      <c r="J15" s="176" t="s">
        <v>2</v>
      </c>
      <c r="K15" s="187" t="s">
        <v>225</v>
      </c>
      <c r="L15" s="7"/>
      <c r="M15" s="7">
        <v>1</v>
      </c>
      <c r="N15" s="7">
        <v>1</v>
      </c>
      <c r="O15" s="7"/>
      <c r="P15" s="7"/>
      <c r="Q15" s="210"/>
      <c r="S15" s="274" t="s">
        <v>226</v>
      </c>
      <c r="U15" s="204"/>
    </row>
    <row r="16" spans="1:25" ht="15.75" hidden="1">
      <c r="A16" s="220"/>
      <c r="B16" s="215"/>
      <c r="C16" s="280"/>
      <c r="D16" s="241"/>
      <c r="E16" s="242"/>
      <c r="F16" s="242"/>
      <c r="G16" s="242"/>
      <c r="H16" s="242"/>
      <c r="I16" s="242"/>
      <c r="J16" s="176" t="s">
        <v>2</v>
      </c>
      <c r="K16" s="187" t="s">
        <v>92</v>
      </c>
      <c r="L16" s="7"/>
      <c r="M16" s="7">
        <v>1</v>
      </c>
      <c r="N16" s="7">
        <v>1</v>
      </c>
      <c r="O16" s="7"/>
      <c r="P16" s="7"/>
      <c r="Q16" s="210"/>
      <c r="S16" s="274" t="s">
        <v>227</v>
      </c>
      <c r="U16" s="204"/>
    </row>
    <row r="17" spans="1:25" ht="15.75" hidden="1">
      <c r="A17" s="220"/>
      <c r="B17" s="215"/>
      <c r="C17" s="280"/>
      <c r="D17" s="241"/>
      <c r="E17" s="242"/>
      <c r="F17" s="242"/>
      <c r="G17" s="242"/>
      <c r="H17" s="242"/>
      <c r="I17" s="242"/>
      <c r="J17" s="176" t="s">
        <v>2</v>
      </c>
      <c r="K17" s="187" t="s">
        <v>155</v>
      </c>
      <c r="L17" s="190"/>
      <c r="M17" s="190">
        <v>1</v>
      </c>
      <c r="N17" s="190">
        <v>1</v>
      </c>
      <c r="O17" s="190"/>
      <c r="P17" s="190"/>
      <c r="Q17" s="210"/>
      <c r="S17" s="274" t="s">
        <v>228</v>
      </c>
    </row>
    <row r="18" spans="1:25" s="153" customFormat="1" ht="14.25" thickBot="1">
      <c r="A18" s="224" t="s">
        <v>164</v>
      </c>
      <c r="B18" s="225"/>
      <c r="C18" s="255">
        <f>C6</f>
        <v>0.20709999999999998</v>
      </c>
      <c r="D18" s="256"/>
      <c r="E18" s="255">
        <f>E6</f>
        <v>0.09</v>
      </c>
      <c r="F18" s="255">
        <f>F6</f>
        <v>0.02</v>
      </c>
      <c r="G18" s="226">
        <f t="shared" ref="G18" si="0">F18/E18*100</f>
        <v>22.222222222222225</v>
      </c>
      <c r="H18" s="255">
        <f>H6</f>
        <v>6.9999999999999993E-2</v>
      </c>
      <c r="I18" s="226">
        <f>SUM(M6:M12)/E18</f>
        <v>488.88888888888891</v>
      </c>
      <c r="J18" s="227"/>
      <c r="K18" s="228"/>
      <c r="L18" s="221"/>
      <c r="M18" s="222">
        <f>SUM(M6:M12)</f>
        <v>44</v>
      </c>
      <c r="N18" s="222">
        <f>SUM(N6:N12)</f>
        <v>44</v>
      </c>
      <c r="O18" s="222"/>
      <c r="P18" s="222"/>
      <c r="Q18" s="253"/>
      <c r="R18" s="261"/>
      <c r="S18" s="273"/>
      <c r="T18" s="261"/>
      <c r="U18" s="261"/>
      <c r="V18" s="261"/>
      <c r="W18" s="261"/>
      <c r="X18" s="261"/>
      <c r="Y18" s="261"/>
    </row>
    <row r="19" spans="1:25">
      <c r="A19" s="141"/>
      <c r="B19" s="157"/>
      <c r="C19" s="178"/>
      <c r="D19" s="159"/>
      <c r="E19" s="154"/>
      <c r="F19" s="154"/>
      <c r="G19" s="154"/>
      <c r="H19" s="142"/>
      <c r="I19" s="142"/>
      <c r="J19" s="143"/>
      <c r="K19" s="144"/>
      <c r="L19" s="145"/>
      <c r="M19" s="146"/>
      <c r="N19" s="143"/>
      <c r="O19" s="143"/>
      <c r="P19" s="143"/>
      <c r="Q19" s="143"/>
    </row>
    <row r="20" spans="1:25" ht="53.25" customHeight="1">
      <c r="A20" s="141"/>
      <c r="B20" s="157"/>
      <c r="C20" s="178"/>
      <c r="D20" s="159"/>
      <c r="E20" s="154"/>
      <c r="F20" s="154"/>
      <c r="G20" s="154"/>
      <c r="H20" s="142"/>
      <c r="I20" s="142"/>
      <c r="J20" s="143"/>
      <c r="K20" s="144"/>
      <c r="L20" s="145"/>
      <c r="M20" s="146"/>
      <c r="N20" s="143"/>
      <c r="O20" s="143"/>
      <c r="P20" s="143"/>
      <c r="Q20" s="143"/>
    </row>
    <row r="21" spans="1:25" ht="14.25" customHeight="1">
      <c r="A21" s="141"/>
      <c r="B21" s="296" t="s">
        <v>121</v>
      </c>
      <c r="C21" s="296"/>
      <c r="D21" s="296"/>
      <c r="E21" s="172">
        <v>43262</v>
      </c>
      <c r="F21" s="154" t="s">
        <v>122</v>
      </c>
      <c r="G21" s="172">
        <v>43265</v>
      </c>
      <c r="H21" s="142"/>
      <c r="I21" s="142"/>
      <c r="J21" s="143"/>
      <c r="K21" s="144"/>
      <c r="L21" s="145"/>
      <c r="M21" s="146"/>
      <c r="N21" s="143"/>
      <c r="O21" s="143"/>
      <c r="P21" s="143"/>
      <c r="Q21" s="143"/>
    </row>
    <row r="22" spans="1:25" ht="33" customHeight="1">
      <c r="A22" s="155"/>
      <c r="B22" s="158"/>
      <c r="C22" s="178"/>
      <c r="D22" s="180"/>
      <c r="E22" s="180"/>
      <c r="F22" s="180"/>
      <c r="G22" s="180"/>
      <c r="H22" s="148"/>
      <c r="I22" s="148"/>
      <c r="J22" s="147"/>
      <c r="K22" s="147"/>
      <c r="L22" s="149"/>
      <c r="M22" s="151"/>
      <c r="N22" s="150"/>
      <c r="O22" s="150"/>
      <c r="P22" s="147"/>
      <c r="Q22" s="230"/>
    </row>
    <row r="23" spans="1:25" ht="15" customHeight="1">
      <c r="B23" s="296" t="s">
        <v>229</v>
      </c>
      <c r="C23" s="296"/>
      <c r="D23" s="296"/>
      <c r="E23" s="296"/>
      <c r="F23" s="296"/>
      <c r="G23" s="296"/>
      <c r="H23" s="296"/>
      <c r="I23" s="296"/>
      <c r="K23" s="168" t="s">
        <v>230</v>
      </c>
    </row>
    <row r="26" spans="1:25" ht="13.5">
      <c r="J26" s="175" t="s">
        <v>147</v>
      </c>
      <c r="O26" s="175"/>
    </row>
    <row r="27" spans="1:25">
      <c r="J27" s="169" t="s">
        <v>140</v>
      </c>
      <c r="K27" s="169" t="s">
        <v>141</v>
      </c>
    </row>
    <row r="28" spans="1:25">
      <c r="J28" s="169"/>
      <c r="K28" s="169" t="s">
        <v>142</v>
      </c>
    </row>
    <row r="29" spans="1:25">
      <c r="J29" s="169"/>
      <c r="K29" s="169" t="s">
        <v>143</v>
      </c>
    </row>
    <row r="30" spans="1:25">
      <c r="J30" s="169"/>
      <c r="K30" s="169" t="s">
        <v>144</v>
      </c>
    </row>
    <row r="31" spans="1:25">
      <c r="J31" s="169"/>
      <c r="K31" s="169" t="s">
        <v>145</v>
      </c>
    </row>
    <row r="32" spans="1:25">
      <c r="J32" s="169"/>
      <c r="K32" s="169" t="s">
        <v>146</v>
      </c>
    </row>
  </sheetData>
  <autoFilter ref="A5:Y18">
    <filterColumn colId="10"/>
  </autoFilter>
  <mergeCells count="20">
    <mergeCell ref="B21:D21"/>
    <mergeCell ref="B23:I23"/>
    <mergeCell ref="R3:R4"/>
    <mergeCell ref="S3:S4"/>
    <mergeCell ref="H3:H4"/>
    <mergeCell ref="J3:J4"/>
    <mergeCell ref="K3:K4"/>
    <mergeCell ref="L3:L4"/>
    <mergeCell ref="M3:M4"/>
    <mergeCell ref="N3:Q3"/>
    <mergeCell ref="A1:Q1"/>
    <mergeCell ref="A2:A4"/>
    <mergeCell ref="B2:B4"/>
    <mergeCell ref="C2:C4"/>
    <mergeCell ref="D2:D4"/>
    <mergeCell ref="E2:H2"/>
    <mergeCell ref="I2:I4"/>
    <mergeCell ref="J2:Q2"/>
    <mergeCell ref="E3:E4"/>
    <mergeCell ref="F3:G3"/>
  </mergeCells>
  <pageMargins left="0.35433070866141736" right="0.27559055118110237" top="0.51181102362204722" bottom="0.31496062992125984" header="0.51181102362204722" footer="0.19685039370078741"/>
  <pageSetup paperSize="9" scale="85" fitToHeight="1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62"/>
  <sheetViews>
    <sheetView tabSelected="1" topLeftCell="A20" workbookViewId="0">
      <selection activeCell="B37" sqref="B37:H37"/>
    </sheetView>
  </sheetViews>
  <sheetFormatPr defaultRowHeight="18.75"/>
  <cols>
    <col min="1" max="1" width="5.28515625" style="163" customWidth="1"/>
    <col min="2" max="2" width="11" customWidth="1"/>
    <col min="3" max="4" width="10.85546875" customWidth="1"/>
    <col min="5" max="5" width="12.28515625" customWidth="1"/>
    <col min="6" max="6" width="10.85546875" customWidth="1"/>
    <col min="7" max="7" width="14.5703125" customWidth="1"/>
    <col min="8" max="8" width="18.28515625" customWidth="1"/>
    <col min="9" max="9" width="10.7109375" customWidth="1"/>
    <col min="10" max="10" width="10.85546875" customWidth="1"/>
  </cols>
  <sheetData>
    <row r="2" spans="1:15">
      <c r="A2" s="160" t="s">
        <v>124</v>
      </c>
    </row>
    <row r="3" spans="1:15">
      <c r="A3" s="160" t="s">
        <v>125</v>
      </c>
    </row>
    <row r="4" spans="1:15" ht="30.75" customHeight="1">
      <c r="A4" s="162"/>
    </row>
    <row r="5" spans="1:15" ht="25.5" customHeight="1">
      <c r="A5" s="163" t="s">
        <v>129</v>
      </c>
      <c r="B5" s="327" t="s">
        <v>134</v>
      </c>
      <c r="C5" s="327"/>
      <c r="D5" s="327"/>
      <c r="E5" s="327"/>
      <c r="F5" s="327"/>
      <c r="G5" s="327"/>
      <c r="H5" s="327"/>
      <c r="I5" s="131"/>
      <c r="J5" s="131"/>
    </row>
    <row r="6" spans="1:15" ht="38.25" customHeight="1">
      <c r="B6" s="328" t="str">
        <f>CONCATENATE('тит на паспорт'!A12,'тит на паспорт'!A13)</f>
        <v>Республиканское унитарное предприятие «Главный расчётный информационный центр» Белоруской железной дороги</v>
      </c>
      <c r="C6" s="328"/>
      <c r="D6" s="328"/>
      <c r="E6" s="328"/>
      <c r="F6" s="328"/>
      <c r="G6" s="328"/>
      <c r="H6" s="328"/>
      <c r="I6" s="161"/>
      <c r="J6" s="161"/>
      <c r="M6" s="129"/>
      <c r="N6" s="129"/>
      <c r="O6" s="129"/>
    </row>
    <row r="7" spans="1:15" ht="25.5" customHeight="1">
      <c r="A7" s="163" t="s">
        <v>128</v>
      </c>
      <c r="B7" s="327" t="s">
        <v>126</v>
      </c>
      <c r="C7" s="327"/>
      <c r="D7" s="327"/>
      <c r="E7" s="327"/>
      <c r="F7" s="327"/>
      <c r="G7" s="327"/>
      <c r="H7" s="327"/>
      <c r="I7" s="131"/>
      <c r="J7" s="131"/>
    </row>
    <row r="8" spans="1:15" ht="25.5" customHeight="1">
      <c r="B8" s="328" t="s">
        <v>234</v>
      </c>
      <c r="C8" s="328"/>
      <c r="D8" s="328"/>
      <c r="E8" s="328"/>
      <c r="F8" s="328"/>
      <c r="G8" s="328"/>
      <c r="H8" s="328"/>
      <c r="I8" s="161"/>
      <c r="J8" s="161"/>
      <c r="M8" s="129"/>
      <c r="N8" s="129"/>
      <c r="O8" s="129"/>
    </row>
    <row r="9" spans="1:15" ht="25.5" customHeight="1">
      <c r="A9" s="163" t="s">
        <v>133</v>
      </c>
      <c r="B9" s="327" t="s">
        <v>127</v>
      </c>
      <c r="C9" s="327"/>
      <c r="D9" s="327"/>
      <c r="E9" s="327"/>
      <c r="F9" s="327"/>
      <c r="G9" s="327"/>
      <c r="H9" s="327"/>
      <c r="I9" s="131"/>
      <c r="J9" s="131"/>
    </row>
    <row r="10" spans="1:15" s="218" customFormat="1" ht="25.5" customHeight="1">
      <c r="A10" s="163"/>
      <c r="B10" s="329" t="s">
        <v>212</v>
      </c>
      <c r="C10" s="329"/>
      <c r="D10" s="329"/>
      <c r="E10" s="329"/>
      <c r="F10" s="329"/>
      <c r="G10" s="329"/>
      <c r="H10" s="329"/>
      <c r="I10" s="131"/>
      <c r="J10" s="131"/>
    </row>
    <row r="11" spans="1:15" s="218" customFormat="1" ht="25.5" hidden="1" customHeight="1">
      <c r="A11" s="163"/>
      <c r="B11" s="329" t="s">
        <v>167</v>
      </c>
      <c r="C11" s="329"/>
      <c r="D11" s="329"/>
      <c r="E11" s="329"/>
      <c r="F11" s="329"/>
      <c r="G11" s="329"/>
      <c r="H11" s="329"/>
      <c r="I11" s="131"/>
      <c r="J11" s="131"/>
    </row>
    <row r="12" spans="1:15" s="218" customFormat="1" ht="25.5" hidden="1" customHeight="1">
      <c r="A12" s="163"/>
      <c r="B12" s="329" t="s">
        <v>168</v>
      </c>
      <c r="C12" s="329"/>
      <c r="D12" s="329"/>
      <c r="E12" s="329"/>
      <c r="F12" s="329"/>
      <c r="G12" s="329"/>
      <c r="H12" s="329"/>
      <c r="I12" s="131"/>
      <c r="J12" s="131"/>
    </row>
    <row r="13" spans="1:15" s="218" customFormat="1" ht="42.75" hidden="1" customHeight="1">
      <c r="A13" s="163"/>
      <c r="B13" s="329" t="s">
        <v>169</v>
      </c>
      <c r="C13" s="329"/>
      <c r="D13" s="329"/>
      <c r="E13" s="329"/>
      <c r="F13" s="329"/>
      <c r="G13" s="329"/>
      <c r="H13" s="329"/>
      <c r="I13" s="131"/>
      <c r="J13" s="131"/>
    </row>
    <row r="14" spans="1:15" s="258" customFormat="1" ht="42.75" hidden="1" customHeight="1">
      <c r="A14" s="163"/>
      <c r="B14" s="259"/>
      <c r="C14" s="259"/>
      <c r="D14" s="259"/>
      <c r="E14" s="259"/>
      <c r="F14" s="259"/>
      <c r="G14" s="259"/>
      <c r="H14" s="259"/>
      <c r="I14" s="131"/>
      <c r="J14" s="131"/>
    </row>
    <row r="15" spans="1:15" s="258" customFormat="1" ht="42.75" hidden="1" customHeight="1">
      <c r="A15" s="163"/>
      <c r="B15" s="259"/>
      <c r="C15" s="259"/>
      <c r="D15" s="259"/>
      <c r="E15" s="259"/>
      <c r="F15" s="259"/>
      <c r="G15" s="259"/>
      <c r="H15" s="259"/>
      <c r="I15" s="131"/>
      <c r="J15" s="131"/>
    </row>
    <row r="16" spans="1:15" s="258" customFormat="1" ht="42.75" hidden="1" customHeight="1">
      <c r="A16" s="163"/>
      <c r="B16" s="259"/>
      <c r="C16" s="259"/>
      <c r="D16" s="259"/>
      <c r="E16" s="259"/>
      <c r="F16" s="259"/>
      <c r="G16" s="259"/>
      <c r="H16" s="259"/>
      <c r="I16" s="131"/>
      <c r="J16" s="131"/>
    </row>
    <row r="17" spans="1:15" ht="25.5" customHeight="1">
      <c r="A17" s="163" t="s">
        <v>132</v>
      </c>
      <c r="B17" s="327" t="s">
        <v>130</v>
      </c>
      <c r="C17" s="327"/>
      <c r="D17" s="327"/>
      <c r="E17" s="327"/>
      <c r="F17" s="327"/>
      <c r="G17" s="327"/>
      <c r="H17" s="327"/>
      <c r="I17" s="131"/>
      <c r="J17" s="131"/>
    </row>
    <row r="18" spans="1:15" ht="25.5" customHeight="1">
      <c r="B18" s="328" t="s">
        <v>235</v>
      </c>
      <c r="C18" s="328"/>
      <c r="D18" s="328"/>
      <c r="E18" s="328"/>
      <c r="F18" s="328"/>
      <c r="G18" s="328"/>
      <c r="H18" s="328"/>
      <c r="I18" s="161"/>
      <c r="J18" s="161"/>
      <c r="M18" s="129"/>
      <c r="N18" s="129"/>
      <c r="O18" s="129"/>
    </row>
    <row r="19" spans="1:15" ht="25.5" customHeight="1">
      <c r="A19" s="163" t="s">
        <v>135</v>
      </c>
      <c r="B19" s="327" t="s">
        <v>131</v>
      </c>
      <c r="C19" s="327"/>
      <c r="D19" s="327"/>
      <c r="E19" s="327"/>
      <c r="F19" s="327"/>
      <c r="G19" s="327"/>
      <c r="H19" s="327"/>
      <c r="I19" s="131"/>
      <c r="J19" s="131"/>
    </row>
    <row r="20" spans="1:15" ht="25.5" customHeight="1">
      <c r="B20" s="326" t="s">
        <v>236</v>
      </c>
      <c r="C20" s="326"/>
      <c r="D20" s="326"/>
      <c r="E20" s="326"/>
      <c r="F20" s="326"/>
      <c r="G20" s="326"/>
      <c r="H20" s="326"/>
      <c r="I20" s="161"/>
      <c r="J20" s="161"/>
      <c r="M20" s="129"/>
      <c r="N20" s="129"/>
      <c r="O20" s="129"/>
    </row>
    <row r="21" spans="1:15" ht="25.5" customHeight="1">
      <c r="A21" s="163" t="s">
        <v>136</v>
      </c>
      <c r="B21" s="327" t="s">
        <v>137</v>
      </c>
      <c r="C21" s="327"/>
      <c r="D21" s="327"/>
      <c r="E21" s="327"/>
      <c r="F21" s="327"/>
      <c r="G21" s="327"/>
      <c r="H21" s="327"/>
      <c r="I21" s="131"/>
      <c r="J21" s="131"/>
    </row>
    <row r="22" spans="1:15" ht="21.75" customHeight="1">
      <c r="B22" s="326" t="s">
        <v>239</v>
      </c>
      <c r="C22" s="326"/>
      <c r="D22" s="326"/>
      <c r="E22" s="326"/>
      <c r="F22" s="326"/>
      <c r="G22" s="326"/>
      <c r="H22" s="326"/>
      <c r="I22" s="161"/>
      <c r="J22" s="161"/>
      <c r="M22" s="129"/>
      <c r="N22" s="129"/>
      <c r="O22" s="129"/>
    </row>
    <row r="23" spans="1:15" ht="62.25" customHeight="1">
      <c r="A23" s="243" t="s">
        <v>138</v>
      </c>
      <c r="B23" s="324" t="s">
        <v>170</v>
      </c>
      <c r="C23" s="324"/>
      <c r="D23" s="324"/>
      <c r="E23" s="324"/>
      <c r="F23" s="324"/>
      <c r="G23" s="324"/>
      <c r="H23" s="324"/>
      <c r="I23" s="135"/>
      <c r="J23" s="135"/>
      <c r="K23" s="1"/>
      <c r="L23" s="1"/>
      <c r="M23" s="2"/>
      <c r="N23" s="2"/>
      <c r="O23" s="2"/>
    </row>
    <row r="24" spans="1:15">
      <c r="A24" s="243"/>
      <c r="B24" s="325" t="s">
        <v>237</v>
      </c>
      <c r="C24" s="325"/>
      <c r="D24" s="325"/>
      <c r="E24" s="325"/>
      <c r="F24" s="325"/>
      <c r="G24" s="325"/>
      <c r="H24" s="325"/>
      <c r="I24" s="135"/>
      <c r="J24" s="135"/>
      <c r="M24" s="2"/>
      <c r="N24" s="2"/>
      <c r="O24" s="2"/>
    </row>
    <row r="25" spans="1:15" ht="25.5" customHeight="1">
      <c r="A25" s="244" t="s">
        <v>171</v>
      </c>
      <c r="B25" s="324" t="s">
        <v>240</v>
      </c>
      <c r="C25" s="324"/>
      <c r="D25" s="324"/>
      <c r="E25" s="324"/>
      <c r="F25" s="324"/>
      <c r="G25" s="324"/>
      <c r="H25" s="324"/>
      <c r="I25" s="135"/>
      <c r="J25" s="135"/>
      <c r="M25" s="2"/>
      <c r="N25" s="2"/>
      <c r="O25" s="2"/>
    </row>
    <row r="26" spans="1:15" ht="102.75" customHeight="1">
      <c r="A26" s="244" t="s">
        <v>172</v>
      </c>
      <c r="B26" s="324" t="s">
        <v>208</v>
      </c>
      <c r="C26" s="324"/>
      <c r="D26" s="324"/>
      <c r="E26" s="324"/>
      <c r="F26" s="324"/>
      <c r="G26" s="324"/>
      <c r="H26" s="324"/>
      <c r="I26" s="135"/>
      <c r="J26" s="135"/>
      <c r="M26" s="2"/>
      <c r="N26" s="2"/>
      <c r="O26" s="2"/>
    </row>
    <row r="27" spans="1:15" ht="25.5" customHeight="1">
      <c r="A27" s="244" t="s">
        <v>173</v>
      </c>
      <c r="B27" s="324" t="s">
        <v>174</v>
      </c>
      <c r="C27" s="324"/>
      <c r="D27" s="324"/>
      <c r="E27" s="324"/>
      <c r="F27" s="324"/>
      <c r="G27" s="324"/>
      <c r="H27" s="324"/>
      <c r="I27" s="135"/>
      <c r="J27" s="135"/>
      <c r="M27" s="2"/>
      <c r="N27" s="2"/>
      <c r="O27" s="2"/>
    </row>
    <row r="28" spans="1:15" ht="42" customHeight="1">
      <c r="A28" s="244"/>
      <c r="B28" s="324" t="s">
        <v>238</v>
      </c>
      <c r="C28" s="324"/>
      <c r="D28" s="324"/>
      <c r="E28" s="324"/>
      <c r="F28" s="324"/>
      <c r="G28" s="324"/>
      <c r="H28" s="324"/>
      <c r="I28" s="2"/>
      <c r="J28" s="2"/>
      <c r="M28" s="2"/>
      <c r="N28" s="2"/>
      <c r="O28" s="2"/>
    </row>
    <row r="29" spans="1:15" ht="42" customHeight="1">
      <c r="A29" s="244"/>
      <c r="B29" s="324" t="s">
        <v>175</v>
      </c>
      <c r="C29" s="324"/>
      <c r="D29" s="324"/>
      <c r="E29" s="324"/>
      <c r="F29" s="324"/>
      <c r="G29" s="324"/>
      <c r="H29" s="324"/>
      <c r="I29" s="2"/>
      <c r="J29" s="2"/>
      <c r="M29" s="2"/>
      <c r="N29" s="2"/>
      <c r="O29" s="2"/>
    </row>
    <row r="30" spans="1:15" ht="44.25" customHeight="1">
      <c r="A30" s="244" t="s">
        <v>176</v>
      </c>
      <c r="B30" s="324" t="s">
        <v>177</v>
      </c>
      <c r="C30" s="324"/>
      <c r="D30" s="324"/>
      <c r="E30" s="324"/>
      <c r="F30" s="324"/>
      <c r="G30" s="324"/>
      <c r="H30" s="324"/>
      <c r="J30" s="2"/>
    </row>
    <row r="31" spans="1:15" ht="24.75" customHeight="1">
      <c r="A31" s="244" t="s">
        <v>178</v>
      </c>
      <c r="B31" s="324" t="s">
        <v>179</v>
      </c>
      <c r="C31" s="324"/>
      <c r="D31" s="324"/>
      <c r="E31" s="324"/>
      <c r="F31" s="324"/>
      <c r="G31" s="324"/>
      <c r="H31" s="324"/>
    </row>
    <row r="32" spans="1:15" ht="30.75" customHeight="1">
      <c r="A32" s="244" t="s">
        <v>180</v>
      </c>
      <c r="B32" s="324" t="s">
        <v>181</v>
      </c>
      <c r="C32" s="324"/>
      <c r="D32" s="324"/>
      <c r="E32" s="324"/>
      <c r="F32" s="324"/>
      <c r="G32" s="324"/>
      <c r="H32" s="324"/>
    </row>
    <row r="33" spans="1:15" ht="39.75" customHeight="1">
      <c r="A33" s="244" t="s">
        <v>182</v>
      </c>
      <c r="B33" s="324" t="s">
        <v>183</v>
      </c>
      <c r="C33" s="324"/>
      <c r="D33" s="324"/>
      <c r="E33" s="324"/>
      <c r="F33" s="324"/>
      <c r="G33" s="324"/>
      <c r="H33" s="324"/>
    </row>
    <row r="34" spans="1:15" ht="25.5" customHeight="1">
      <c r="A34" s="244" t="s">
        <v>184</v>
      </c>
      <c r="B34" s="324" t="s">
        <v>185</v>
      </c>
      <c r="C34" s="324"/>
      <c r="D34" s="324"/>
      <c r="E34" s="324"/>
      <c r="F34" s="324"/>
      <c r="G34" s="324"/>
      <c r="H34" s="324"/>
    </row>
    <row r="35" spans="1:15" ht="32.25" customHeight="1">
      <c r="A35" s="244" t="s">
        <v>186</v>
      </c>
      <c r="B35" s="324" t="s">
        <v>243</v>
      </c>
      <c r="C35" s="324"/>
      <c r="D35" s="324"/>
      <c r="E35" s="324"/>
      <c r="F35" s="324"/>
      <c r="G35" s="324"/>
      <c r="H35" s="324"/>
      <c r="I35" s="5"/>
      <c r="M35" s="5"/>
      <c r="N35" s="5"/>
      <c r="O35" s="5"/>
    </row>
    <row r="36" spans="1:15" ht="25.5" customHeight="1">
      <c r="A36" s="244" t="s">
        <v>187</v>
      </c>
      <c r="B36" s="324" t="s">
        <v>174</v>
      </c>
      <c r="C36" s="324"/>
      <c r="D36" s="324"/>
      <c r="E36" s="324"/>
      <c r="F36" s="324"/>
      <c r="G36" s="324"/>
      <c r="H36" s="324"/>
    </row>
    <row r="37" spans="1:15" ht="39" customHeight="1">
      <c r="A37" s="244"/>
      <c r="B37" s="324" t="s">
        <v>242</v>
      </c>
      <c r="C37" s="324"/>
      <c r="D37" s="324"/>
      <c r="E37" s="324"/>
      <c r="F37" s="324"/>
      <c r="G37" s="324"/>
      <c r="H37" s="324"/>
    </row>
    <row r="38" spans="1:15" ht="40.5" customHeight="1">
      <c r="A38" s="244"/>
      <c r="B38" s="324" t="s">
        <v>175</v>
      </c>
      <c r="C38" s="324"/>
      <c r="D38" s="324"/>
      <c r="E38" s="324"/>
      <c r="F38" s="324"/>
      <c r="G38" s="324"/>
      <c r="H38" s="324"/>
    </row>
    <row r="39" spans="1:15" ht="39.75" customHeight="1">
      <c r="A39" s="244" t="s">
        <v>188</v>
      </c>
      <c r="B39" s="324" t="s">
        <v>177</v>
      </c>
      <c r="C39" s="324"/>
      <c r="D39" s="324"/>
      <c r="E39" s="324"/>
      <c r="F39" s="324"/>
      <c r="G39" s="324"/>
      <c r="H39" s="324"/>
    </row>
    <row r="40" spans="1:15">
      <c r="A40" s="244" t="s">
        <v>189</v>
      </c>
      <c r="B40" s="324" t="s">
        <v>179</v>
      </c>
      <c r="C40" s="324"/>
      <c r="D40" s="324"/>
      <c r="E40" s="324"/>
      <c r="F40" s="324"/>
      <c r="G40" s="324"/>
      <c r="H40" s="324"/>
    </row>
    <row r="41" spans="1:15" ht="33.75" customHeight="1">
      <c r="A41" s="244" t="s">
        <v>190</v>
      </c>
      <c r="B41" s="324" t="s">
        <v>181</v>
      </c>
      <c r="C41" s="324"/>
      <c r="D41" s="324"/>
      <c r="E41" s="324"/>
      <c r="F41" s="324"/>
      <c r="G41" s="324"/>
      <c r="H41" s="324"/>
    </row>
    <row r="42" spans="1:15">
      <c r="A42" s="244" t="s">
        <v>191</v>
      </c>
      <c r="B42" s="324" t="s">
        <v>183</v>
      </c>
      <c r="C42" s="324"/>
      <c r="D42" s="324"/>
      <c r="E42" s="324"/>
      <c r="F42" s="324"/>
      <c r="G42" s="324"/>
      <c r="H42" s="324"/>
    </row>
    <row r="43" spans="1:15">
      <c r="A43" s="244" t="s">
        <v>192</v>
      </c>
      <c r="B43" s="324" t="s">
        <v>185</v>
      </c>
      <c r="C43" s="324"/>
      <c r="D43" s="324"/>
      <c r="E43" s="324"/>
      <c r="F43" s="324"/>
      <c r="G43" s="324"/>
      <c r="H43" s="324"/>
    </row>
    <row r="44" spans="1:15" ht="38.25" customHeight="1">
      <c r="A44" s="244" t="s">
        <v>193</v>
      </c>
      <c r="B44" s="324" t="s">
        <v>244</v>
      </c>
      <c r="C44" s="324"/>
      <c r="D44" s="324"/>
      <c r="E44" s="324"/>
      <c r="F44" s="324"/>
      <c r="G44" s="324"/>
      <c r="H44" s="324"/>
    </row>
    <row r="45" spans="1:15" hidden="1">
      <c r="A45" s="244" t="s">
        <v>194</v>
      </c>
      <c r="B45" s="324" t="s">
        <v>174</v>
      </c>
      <c r="C45" s="324"/>
      <c r="D45" s="324"/>
      <c r="E45" s="324"/>
      <c r="F45" s="324"/>
      <c r="G45" s="324"/>
      <c r="H45" s="324"/>
    </row>
    <row r="46" spans="1:15" ht="37.5" hidden="1" customHeight="1">
      <c r="A46" s="244"/>
      <c r="B46" s="324" t="s">
        <v>241</v>
      </c>
      <c r="C46" s="324"/>
      <c r="D46" s="324"/>
      <c r="E46" s="324"/>
      <c r="F46" s="324"/>
      <c r="G46" s="324"/>
      <c r="H46" s="324"/>
    </row>
    <row r="47" spans="1:15" ht="37.5" hidden="1" customHeight="1">
      <c r="A47" s="244"/>
      <c r="B47" s="324" t="s">
        <v>175</v>
      </c>
      <c r="C47" s="324"/>
      <c r="D47" s="324"/>
      <c r="E47" s="324"/>
      <c r="F47" s="324"/>
      <c r="G47" s="324"/>
      <c r="H47" s="324"/>
    </row>
    <row r="48" spans="1:15" ht="36" hidden="1" customHeight="1">
      <c r="A48" s="244" t="s">
        <v>195</v>
      </c>
      <c r="B48" s="324" t="s">
        <v>177</v>
      </c>
      <c r="C48" s="324"/>
      <c r="D48" s="324"/>
      <c r="E48" s="324"/>
      <c r="F48" s="324"/>
      <c r="G48" s="324"/>
      <c r="H48" s="324"/>
    </row>
    <row r="49" spans="1:8" hidden="1">
      <c r="A49" s="244" t="s">
        <v>196</v>
      </c>
      <c r="B49" s="324" t="s">
        <v>179</v>
      </c>
      <c r="C49" s="324"/>
      <c r="D49" s="324"/>
      <c r="E49" s="324"/>
      <c r="F49" s="324"/>
      <c r="G49" s="324"/>
      <c r="H49" s="324"/>
    </row>
    <row r="50" spans="1:8" hidden="1">
      <c r="A50" s="244" t="s">
        <v>197</v>
      </c>
      <c r="B50" s="324" t="s">
        <v>181</v>
      </c>
      <c r="C50" s="324"/>
      <c r="D50" s="324"/>
      <c r="E50" s="324"/>
      <c r="F50" s="324"/>
      <c r="G50" s="324"/>
      <c r="H50" s="324"/>
    </row>
    <row r="51" spans="1:8" hidden="1">
      <c r="A51" s="244" t="s">
        <v>198</v>
      </c>
      <c r="B51" s="324" t="s">
        <v>183</v>
      </c>
      <c r="C51" s="324"/>
      <c r="D51" s="324"/>
      <c r="E51" s="324"/>
      <c r="F51" s="324"/>
      <c r="G51" s="324"/>
      <c r="H51" s="324"/>
    </row>
    <row r="52" spans="1:8" hidden="1">
      <c r="A52" s="244" t="s">
        <v>199</v>
      </c>
      <c r="B52" s="324" t="s">
        <v>185</v>
      </c>
      <c r="C52" s="324"/>
      <c r="D52" s="324"/>
      <c r="E52" s="324"/>
      <c r="F52" s="324"/>
      <c r="G52" s="324"/>
      <c r="H52" s="324"/>
    </row>
    <row r="53" spans="1:8">
      <c r="A53" s="244" t="s">
        <v>200</v>
      </c>
      <c r="B53" s="324" t="s">
        <v>245</v>
      </c>
      <c r="C53" s="324"/>
      <c r="D53" s="324"/>
      <c r="E53" s="324"/>
      <c r="F53" s="324"/>
      <c r="G53" s="324"/>
      <c r="H53" s="324"/>
    </row>
    <row r="54" spans="1:8" hidden="1">
      <c r="A54" s="244" t="s">
        <v>201</v>
      </c>
      <c r="B54" s="324" t="s">
        <v>174</v>
      </c>
      <c r="C54" s="324"/>
      <c r="D54" s="324"/>
      <c r="E54" s="324"/>
      <c r="F54" s="324"/>
      <c r="G54" s="324"/>
      <c r="H54" s="324"/>
    </row>
    <row r="55" spans="1:8" ht="53.25" hidden="1" customHeight="1">
      <c r="A55" s="244"/>
      <c r="B55" s="324" t="s">
        <v>209</v>
      </c>
      <c r="C55" s="324"/>
      <c r="D55" s="324"/>
      <c r="E55" s="324"/>
      <c r="F55" s="324"/>
      <c r="G55" s="324"/>
      <c r="H55" s="324"/>
    </row>
    <row r="56" spans="1:8" ht="36" hidden="1" customHeight="1">
      <c r="A56" s="244"/>
      <c r="B56" s="324" t="s">
        <v>175</v>
      </c>
      <c r="C56" s="324"/>
      <c r="D56" s="324"/>
      <c r="E56" s="324"/>
      <c r="F56" s="324"/>
      <c r="G56" s="324"/>
      <c r="H56" s="324"/>
    </row>
    <row r="57" spans="1:8" ht="35.25" hidden="1" customHeight="1">
      <c r="A57" s="244" t="s">
        <v>202</v>
      </c>
      <c r="B57" s="324" t="s">
        <v>177</v>
      </c>
      <c r="C57" s="324"/>
      <c r="D57" s="324"/>
      <c r="E57" s="324"/>
      <c r="F57" s="324"/>
      <c r="G57" s="324"/>
      <c r="H57" s="324"/>
    </row>
    <row r="58" spans="1:8" hidden="1">
      <c r="A58" s="244" t="s">
        <v>203</v>
      </c>
      <c r="B58" s="324" t="s">
        <v>179</v>
      </c>
      <c r="C58" s="324"/>
      <c r="D58" s="324"/>
      <c r="E58" s="324"/>
      <c r="F58" s="324"/>
      <c r="G58" s="324"/>
      <c r="H58" s="324"/>
    </row>
    <row r="59" spans="1:8" hidden="1">
      <c r="A59" s="244" t="s">
        <v>204</v>
      </c>
      <c r="B59" s="324" t="s">
        <v>181</v>
      </c>
      <c r="C59" s="324"/>
      <c r="D59" s="324"/>
      <c r="E59" s="324"/>
      <c r="F59" s="324"/>
      <c r="G59" s="324"/>
      <c r="H59" s="324"/>
    </row>
    <row r="60" spans="1:8" hidden="1">
      <c r="A60" s="244" t="s">
        <v>205</v>
      </c>
      <c r="B60" s="324" t="s">
        <v>183</v>
      </c>
      <c r="C60" s="324"/>
      <c r="D60" s="324"/>
      <c r="E60" s="324"/>
      <c r="F60" s="324"/>
      <c r="G60" s="324"/>
      <c r="H60" s="324"/>
    </row>
    <row r="61" spans="1:8" hidden="1">
      <c r="A61" s="244" t="s">
        <v>206</v>
      </c>
      <c r="B61" s="324" t="s">
        <v>185</v>
      </c>
      <c r="C61" s="324"/>
      <c r="D61" s="324"/>
      <c r="E61" s="324"/>
      <c r="F61" s="324"/>
      <c r="G61" s="324"/>
      <c r="H61" s="324"/>
    </row>
    <row r="62" spans="1:8" hidden="1">
      <c r="A62" s="244" t="s">
        <v>207</v>
      </c>
      <c r="B62" s="324" t="s">
        <v>210</v>
      </c>
      <c r="C62" s="324"/>
      <c r="D62" s="324"/>
      <c r="E62" s="324"/>
      <c r="F62" s="324"/>
      <c r="G62" s="324"/>
      <c r="H62" s="324"/>
    </row>
  </sheetData>
  <mergeCells count="55">
    <mergeCell ref="B22:H22"/>
    <mergeCell ref="B5:H5"/>
    <mergeCell ref="B7:H7"/>
    <mergeCell ref="B8:H8"/>
    <mergeCell ref="B6:H6"/>
    <mergeCell ref="B17:H17"/>
    <mergeCell ref="B19:H19"/>
    <mergeCell ref="B18:H18"/>
    <mergeCell ref="B20:H20"/>
    <mergeCell ref="B21:H21"/>
    <mergeCell ref="B9:H9"/>
    <mergeCell ref="B10:H10"/>
    <mergeCell ref="B11:H11"/>
    <mergeCell ref="B12:H12"/>
    <mergeCell ref="B13:H13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</mergeCells>
  <hyperlinks>
    <hyperlink ref="B18" r:id="rId1" display="***@***"/>
  </hyperlinks>
  <pageMargins left="0.7" right="0.43" top="0.75" bottom="0.75" header="0.3" footer="0.3"/>
  <pageSetup paperSize="9" scale="98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workbookViewId="0">
      <selection activeCell="G10" sqref="G10"/>
    </sheetView>
  </sheetViews>
  <sheetFormatPr defaultRowHeight="12.75"/>
  <cols>
    <col min="1" max="1" width="13.28515625" customWidth="1"/>
    <col min="2" max="2" width="12.5703125" customWidth="1"/>
    <col min="3" max="3" width="6.85546875" customWidth="1"/>
    <col min="4" max="4" width="7.7109375" customWidth="1"/>
    <col min="5" max="5" width="28.28515625" customWidth="1"/>
    <col min="6" max="6" width="9.42578125" customWidth="1"/>
    <col min="7" max="7" width="7.7109375" customWidth="1"/>
    <col min="8" max="8" width="8.7109375" customWidth="1"/>
    <col min="9" max="9" width="6.5703125" customWidth="1"/>
    <col min="10" max="10" width="10.5703125" customWidth="1"/>
    <col min="11" max="11" width="15.85546875" customWidth="1"/>
    <col min="12" max="12" width="21.5703125" customWidth="1"/>
    <col min="13" max="13" width="19.42578125" customWidth="1"/>
  </cols>
  <sheetData>
    <row r="1" spans="1:13" ht="14.25">
      <c r="A1" s="332" t="s">
        <v>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13" ht="13.5" thickBot="1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13" ht="14.25" thickBot="1">
      <c r="A3" s="334" t="s">
        <v>10</v>
      </c>
      <c r="B3" s="334" t="s">
        <v>11</v>
      </c>
      <c r="C3" s="334" t="s">
        <v>12</v>
      </c>
      <c r="D3" s="334" t="s">
        <v>13</v>
      </c>
      <c r="E3" s="334" t="s">
        <v>14</v>
      </c>
      <c r="F3" s="336" t="s">
        <v>15</v>
      </c>
      <c r="G3" s="337"/>
      <c r="H3" s="337"/>
      <c r="I3" s="337"/>
      <c r="J3" s="338"/>
      <c r="K3" s="330" t="s">
        <v>16</v>
      </c>
      <c r="L3" s="330" t="s">
        <v>17</v>
      </c>
      <c r="M3" s="330" t="s">
        <v>18</v>
      </c>
    </row>
    <row r="4" spans="1:13" ht="144" customHeight="1" thickBot="1">
      <c r="A4" s="335"/>
      <c r="B4" s="335"/>
      <c r="C4" s="335"/>
      <c r="D4" s="335"/>
      <c r="E4" s="335"/>
      <c r="F4" s="8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331"/>
      <c r="L4" s="331"/>
      <c r="M4" s="331"/>
    </row>
    <row r="5" spans="1:13" ht="13.5" thickBot="1">
      <c r="A5" s="10">
        <v>1</v>
      </c>
      <c r="B5" s="10">
        <v>2</v>
      </c>
      <c r="C5" s="10">
        <v>3</v>
      </c>
      <c r="D5" s="11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</row>
    <row r="6" spans="1:13" ht="16.5" customHeight="1">
      <c r="A6" s="12"/>
      <c r="B6" s="13"/>
      <c r="C6" s="14"/>
      <c r="D6" s="15"/>
      <c r="E6" s="14"/>
      <c r="F6" s="16"/>
      <c r="G6" s="17"/>
      <c r="H6" s="18"/>
      <c r="I6" s="18"/>
      <c r="J6" s="17"/>
      <c r="K6" s="17"/>
      <c r="L6" s="17"/>
      <c r="M6" s="17"/>
    </row>
    <row r="7" spans="1:13" ht="16.5" customHeight="1">
      <c r="A7" s="19"/>
      <c r="B7" s="20"/>
      <c r="C7" s="21"/>
      <c r="D7" s="22"/>
      <c r="E7" s="21"/>
      <c r="F7" s="23"/>
      <c r="G7" s="24"/>
      <c r="H7" s="25"/>
      <c r="I7" s="25"/>
      <c r="J7" s="24"/>
      <c r="K7" s="24"/>
      <c r="L7" s="24"/>
      <c r="M7" s="24"/>
    </row>
    <row r="8" spans="1:13" ht="16.5" customHeight="1">
      <c r="A8" s="19"/>
      <c r="B8" s="20"/>
      <c r="C8" s="21"/>
      <c r="D8" s="22"/>
      <c r="E8" s="21"/>
      <c r="F8" s="23"/>
      <c r="G8" s="24"/>
      <c r="H8" s="25"/>
      <c r="I8" s="25"/>
      <c r="J8" s="24"/>
      <c r="K8" s="24"/>
      <c r="L8" s="24"/>
      <c r="M8" s="24"/>
    </row>
    <row r="9" spans="1:13" ht="16.5" customHeight="1">
      <c r="A9" s="19"/>
      <c r="B9" s="20"/>
      <c r="C9" s="21"/>
      <c r="D9" s="22"/>
      <c r="E9" s="21"/>
      <c r="F9" s="23"/>
      <c r="G9" s="24"/>
      <c r="H9" s="25"/>
      <c r="I9" s="25"/>
      <c r="J9" s="24"/>
      <c r="K9" s="24"/>
      <c r="L9" s="24"/>
      <c r="M9" s="24"/>
    </row>
    <row r="10" spans="1:13" ht="16.5" customHeight="1">
      <c r="A10" s="19"/>
      <c r="B10" s="20"/>
      <c r="C10" s="21"/>
      <c r="D10" s="22"/>
      <c r="E10" s="21"/>
      <c r="F10" s="23"/>
      <c r="G10" s="24"/>
      <c r="H10" s="25"/>
      <c r="I10" s="25"/>
      <c r="J10" s="24"/>
      <c r="K10" s="24"/>
      <c r="L10" s="24"/>
      <c r="M10" s="24"/>
    </row>
    <row r="11" spans="1:13" ht="16.5" customHeight="1">
      <c r="A11" s="19"/>
      <c r="B11" s="20"/>
      <c r="C11" s="21"/>
      <c r="D11" s="22"/>
      <c r="E11" s="21"/>
      <c r="F11" s="23"/>
      <c r="G11" s="24"/>
      <c r="H11" s="25"/>
      <c r="I11" s="25"/>
      <c r="J11" s="24"/>
      <c r="K11" s="24"/>
      <c r="L11" s="24"/>
      <c r="M11" s="24"/>
    </row>
    <row r="12" spans="1:13" ht="16.5" customHeight="1">
      <c r="A12" s="19"/>
      <c r="B12" s="20"/>
      <c r="C12" s="21"/>
      <c r="D12" s="22"/>
      <c r="E12" s="21"/>
      <c r="F12" s="23"/>
      <c r="G12" s="24"/>
      <c r="H12" s="25"/>
      <c r="I12" s="25"/>
      <c r="J12" s="24"/>
      <c r="K12" s="24"/>
      <c r="L12" s="24"/>
      <c r="M12" s="24"/>
    </row>
    <row r="13" spans="1:13" ht="16.5" customHeight="1">
      <c r="A13" s="19"/>
      <c r="B13" s="20"/>
      <c r="C13" s="21"/>
      <c r="D13" s="22"/>
      <c r="E13" s="21"/>
      <c r="F13" s="23"/>
      <c r="G13" s="24"/>
      <c r="H13" s="25"/>
      <c r="I13" s="25"/>
      <c r="J13" s="24"/>
      <c r="K13" s="24"/>
      <c r="L13" s="24"/>
      <c r="M13" s="24"/>
    </row>
    <row r="14" spans="1:13" ht="16.5" customHeight="1">
      <c r="A14" s="19"/>
      <c r="B14" s="20"/>
      <c r="C14" s="21"/>
      <c r="D14" s="22"/>
      <c r="E14" s="21"/>
      <c r="F14" s="23"/>
      <c r="G14" s="24"/>
      <c r="H14" s="25"/>
      <c r="I14" s="25"/>
      <c r="J14" s="24"/>
      <c r="K14" s="24"/>
      <c r="L14" s="24"/>
      <c r="M14" s="24"/>
    </row>
    <row r="15" spans="1:13" ht="16.5" customHeight="1">
      <c r="A15" s="19"/>
      <c r="B15" s="20"/>
      <c r="C15" s="21"/>
      <c r="D15" s="22"/>
      <c r="E15" s="21"/>
      <c r="F15" s="23"/>
      <c r="G15" s="24"/>
      <c r="H15" s="25"/>
      <c r="I15" s="25"/>
      <c r="J15" s="24"/>
      <c r="K15" s="24"/>
      <c r="L15" s="24"/>
      <c r="M15" s="24"/>
    </row>
    <row r="16" spans="1:13" ht="16.5" customHeight="1">
      <c r="A16" s="19"/>
      <c r="B16" s="20"/>
      <c r="C16" s="21"/>
      <c r="D16" s="22"/>
      <c r="E16" s="21"/>
      <c r="F16" s="23"/>
      <c r="G16" s="24"/>
      <c r="H16" s="25"/>
      <c r="I16" s="25"/>
      <c r="J16" s="24"/>
      <c r="K16" s="24"/>
      <c r="L16" s="24"/>
      <c r="M16" s="24"/>
    </row>
    <row r="17" spans="1:13" ht="16.5" customHeight="1">
      <c r="A17" s="19"/>
      <c r="B17" s="20"/>
      <c r="C17" s="21"/>
      <c r="D17" s="22"/>
      <c r="E17" s="21"/>
      <c r="F17" s="23"/>
      <c r="G17" s="24"/>
      <c r="H17" s="25"/>
      <c r="I17" s="25"/>
      <c r="J17" s="24"/>
      <c r="K17" s="24"/>
      <c r="L17" s="24"/>
      <c r="M17" s="24"/>
    </row>
    <row r="18" spans="1:13" ht="16.5" customHeight="1">
      <c r="A18" s="19"/>
      <c r="B18" s="20"/>
      <c r="C18" s="21"/>
      <c r="D18" s="22"/>
      <c r="E18" s="21"/>
      <c r="F18" s="23"/>
      <c r="G18" s="24"/>
      <c r="H18" s="25"/>
      <c r="I18" s="25"/>
      <c r="J18" s="24"/>
      <c r="K18" s="24"/>
      <c r="L18" s="24"/>
      <c r="M18" s="24"/>
    </row>
    <row r="19" spans="1:13" ht="16.5" customHeight="1">
      <c r="A19" s="19"/>
      <c r="B19" s="20"/>
      <c r="C19" s="21"/>
      <c r="D19" s="22"/>
      <c r="E19" s="21"/>
      <c r="F19" s="23"/>
      <c r="G19" s="24"/>
      <c r="H19" s="25"/>
      <c r="I19" s="25"/>
      <c r="J19" s="24"/>
      <c r="K19" s="24"/>
      <c r="L19" s="24"/>
      <c r="M19" s="24"/>
    </row>
    <row r="20" spans="1:13" ht="16.5" customHeight="1">
      <c r="A20" s="19"/>
      <c r="B20" s="20"/>
      <c r="C20" s="21"/>
      <c r="D20" s="22"/>
      <c r="E20" s="21"/>
      <c r="F20" s="23"/>
      <c r="G20" s="24"/>
      <c r="H20" s="25"/>
      <c r="I20" s="25"/>
      <c r="J20" s="24"/>
      <c r="K20" s="24"/>
      <c r="L20" s="24"/>
      <c r="M20" s="24"/>
    </row>
    <row r="21" spans="1:13" ht="16.5" customHeight="1">
      <c r="A21" s="19"/>
      <c r="B21" s="20"/>
      <c r="C21" s="21"/>
      <c r="D21" s="22"/>
      <c r="E21" s="21"/>
      <c r="F21" s="23"/>
      <c r="G21" s="24"/>
      <c r="H21" s="25"/>
      <c r="I21" s="25"/>
      <c r="J21" s="24"/>
      <c r="K21" s="24"/>
      <c r="L21" s="24"/>
      <c r="M21" s="24"/>
    </row>
    <row r="22" spans="1:13" ht="16.5" customHeight="1">
      <c r="A22" s="19"/>
      <c r="B22" s="20"/>
      <c r="C22" s="21"/>
      <c r="D22" s="22"/>
      <c r="E22" s="21"/>
      <c r="F22" s="23"/>
      <c r="G22" s="24"/>
      <c r="H22" s="25"/>
      <c r="I22" s="25"/>
      <c r="J22" s="24"/>
      <c r="K22" s="24"/>
      <c r="L22" s="24"/>
      <c r="M22" s="24"/>
    </row>
    <row r="23" spans="1:13" ht="16.5" customHeight="1">
      <c r="A23" s="19"/>
      <c r="B23" s="20"/>
      <c r="C23" s="21"/>
      <c r="D23" s="22"/>
      <c r="E23" s="21"/>
      <c r="F23" s="23"/>
      <c r="G23" s="24"/>
      <c r="H23" s="25"/>
      <c r="I23" s="25"/>
      <c r="J23" s="24"/>
      <c r="K23" s="24"/>
      <c r="L23" s="24"/>
      <c r="M23" s="24"/>
    </row>
    <row r="24" spans="1:13" ht="16.5" customHeight="1">
      <c r="A24" s="19"/>
      <c r="B24" s="20"/>
      <c r="C24" s="21"/>
      <c r="D24" s="22"/>
      <c r="E24" s="21"/>
      <c r="F24" s="23"/>
      <c r="G24" s="24"/>
      <c r="H24" s="25"/>
      <c r="I24" s="25"/>
      <c r="J24" s="24"/>
      <c r="K24" s="24"/>
      <c r="L24" s="24"/>
      <c r="M24" s="24"/>
    </row>
    <row r="25" spans="1:13" ht="16.5" customHeight="1">
      <c r="A25" s="19"/>
      <c r="B25" s="20"/>
      <c r="C25" s="21"/>
      <c r="D25" s="22"/>
      <c r="E25" s="21"/>
      <c r="F25" s="23"/>
      <c r="G25" s="24"/>
      <c r="H25" s="25"/>
      <c r="I25" s="25"/>
      <c r="J25" s="24"/>
      <c r="K25" s="24"/>
      <c r="L25" s="24"/>
      <c r="M25" s="24"/>
    </row>
    <row r="26" spans="1:13" ht="16.5" customHeight="1">
      <c r="A26" s="19"/>
      <c r="B26" s="20"/>
      <c r="C26" s="21"/>
      <c r="D26" s="22"/>
      <c r="E26" s="21"/>
      <c r="F26" s="23"/>
      <c r="G26" s="24"/>
      <c r="H26" s="25"/>
      <c r="I26" s="25"/>
      <c r="J26" s="24"/>
      <c r="K26" s="24"/>
      <c r="L26" s="24"/>
      <c r="M26" s="24"/>
    </row>
    <row r="27" spans="1:13" ht="16.5" customHeight="1">
      <c r="A27" s="19"/>
      <c r="B27" s="20"/>
      <c r="C27" s="21"/>
      <c r="D27" s="22"/>
      <c r="E27" s="21"/>
      <c r="F27" s="23"/>
      <c r="G27" s="24"/>
      <c r="H27" s="25"/>
      <c r="I27" s="25"/>
      <c r="J27" s="24"/>
      <c r="K27" s="24"/>
      <c r="L27" s="24"/>
      <c r="M27" s="24"/>
    </row>
    <row r="28" spans="1:13" ht="16.5" customHeight="1">
      <c r="A28" s="19"/>
      <c r="B28" s="20"/>
      <c r="C28" s="21"/>
      <c r="D28" s="22"/>
      <c r="E28" s="21"/>
      <c r="F28" s="23"/>
      <c r="G28" s="24"/>
      <c r="H28" s="25"/>
      <c r="I28" s="25"/>
      <c r="J28" s="24"/>
      <c r="K28" s="24"/>
      <c r="L28" s="24"/>
      <c r="M28" s="24"/>
    </row>
    <row r="29" spans="1:13" ht="16.5" customHeight="1">
      <c r="A29" s="19"/>
      <c r="B29" s="20"/>
      <c r="C29" s="21"/>
      <c r="D29" s="22"/>
      <c r="E29" s="21"/>
      <c r="F29" s="23"/>
      <c r="G29" s="24"/>
      <c r="H29" s="25"/>
      <c r="I29" s="25"/>
      <c r="J29" s="24"/>
      <c r="K29" s="24"/>
      <c r="L29" s="24"/>
      <c r="M29" s="24"/>
    </row>
    <row r="30" spans="1:13" ht="16.5" customHeight="1">
      <c r="A30" s="19"/>
      <c r="B30" s="20"/>
      <c r="C30" s="21"/>
      <c r="D30" s="22"/>
      <c r="E30" s="21"/>
      <c r="F30" s="23"/>
      <c r="G30" s="24"/>
      <c r="H30" s="25"/>
      <c r="I30" s="25"/>
      <c r="J30" s="24"/>
      <c r="K30" s="24"/>
      <c r="L30" s="24"/>
      <c r="M30" s="24"/>
    </row>
    <row r="31" spans="1:13" ht="16.5" customHeight="1">
      <c r="A31" s="19"/>
      <c r="B31" s="20"/>
      <c r="C31" s="21"/>
      <c r="D31" s="22"/>
      <c r="E31" s="21"/>
      <c r="F31" s="23"/>
      <c r="G31" s="24"/>
      <c r="H31" s="25"/>
      <c r="I31" s="25"/>
      <c r="J31" s="24"/>
      <c r="K31" s="24"/>
      <c r="L31" s="24"/>
      <c r="M31" s="24"/>
    </row>
    <row r="32" spans="1:13" ht="16.5" customHeight="1">
      <c r="A32" s="19"/>
      <c r="B32" s="20"/>
      <c r="C32" s="21"/>
      <c r="D32" s="22"/>
      <c r="E32" s="21"/>
      <c r="F32" s="23"/>
      <c r="G32" s="24"/>
      <c r="H32" s="25"/>
      <c r="I32" s="25"/>
      <c r="J32" s="24"/>
      <c r="K32" s="24"/>
      <c r="L32" s="24"/>
      <c r="M32" s="24"/>
    </row>
    <row r="33" spans="1:13" ht="16.5" customHeight="1" thickBot="1">
      <c r="A33" s="26"/>
      <c r="B33" s="27"/>
      <c r="C33" s="28"/>
      <c r="D33" s="29"/>
      <c r="E33" s="28"/>
      <c r="F33" s="30"/>
      <c r="G33" s="31"/>
      <c r="H33" s="32"/>
      <c r="I33" s="32"/>
      <c r="J33" s="31"/>
      <c r="K33" s="31"/>
      <c r="L33" s="31"/>
      <c r="M33" s="31"/>
    </row>
  </sheetData>
  <mergeCells count="11">
    <mergeCell ref="M3:M4"/>
    <mergeCell ref="A1:M1"/>
    <mergeCell ref="A2:M2"/>
    <mergeCell ref="A3:A4"/>
    <mergeCell ref="B3:B4"/>
    <mergeCell ref="C3:C4"/>
    <mergeCell ref="D3:D4"/>
    <mergeCell ref="E3:E4"/>
    <mergeCell ref="F3:J3"/>
    <mergeCell ref="K3:K4"/>
    <mergeCell ref="L3:L4"/>
  </mergeCells>
  <pageMargins left="0.31496062992125984" right="0.39370078740157483" top="0.31496062992125984" bottom="0.31496062992125984" header="0.35433070866141736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BF31"/>
  <sheetViews>
    <sheetView workbookViewId="0">
      <selection activeCell="F8" sqref="F8:F11"/>
    </sheetView>
  </sheetViews>
  <sheetFormatPr defaultRowHeight="12.75"/>
  <cols>
    <col min="1" max="1" width="3.42578125" style="2" customWidth="1"/>
    <col min="2" max="2" width="8.140625" style="35" customWidth="1"/>
    <col min="3" max="3" width="7.42578125" style="2" customWidth="1"/>
    <col min="4" max="5" width="6.85546875" style="36" customWidth="1"/>
    <col min="6" max="6" width="6.7109375" style="36" customWidth="1"/>
    <col min="7" max="7" width="7" style="37" customWidth="1"/>
    <col min="8" max="10" width="7.140625" style="2" customWidth="1"/>
    <col min="11" max="11" width="7.140625" style="37" customWidth="1"/>
    <col min="12" max="13" width="7.140625" style="2" customWidth="1"/>
    <col min="14" max="18" width="7.42578125" style="2" customWidth="1"/>
    <col min="19" max="26" width="7.28515625" style="2" customWidth="1"/>
    <col min="27" max="29" width="7.140625" style="2" customWidth="1"/>
    <col min="30" max="34" width="7.42578125" style="2" customWidth="1"/>
    <col min="35" max="38" width="7.28515625" style="2" customWidth="1"/>
    <col min="39" max="42" width="6.85546875" style="2" customWidth="1"/>
    <col min="43" max="45" width="7.140625" style="2" customWidth="1"/>
    <col min="46" max="46" width="7.140625" style="36" customWidth="1"/>
    <col min="47" max="47" width="7.5703125" style="38" customWidth="1"/>
    <col min="48" max="48" width="6.85546875" style="38" customWidth="1"/>
    <col min="49" max="49" width="7.5703125" style="38" customWidth="1"/>
    <col min="50" max="50" width="7" style="38" customWidth="1"/>
    <col min="51" max="51" width="7" style="2" customWidth="1"/>
    <col min="52" max="52" width="8.85546875" style="2" customWidth="1"/>
    <col min="53" max="53" width="6.85546875" style="2" customWidth="1"/>
    <col min="54" max="54" width="9.42578125" style="2" customWidth="1"/>
    <col min="55" max="55" width="6.85546875" style="2" customWidth="1"/>
    <col min="56" max="56" width="10.7109375" style="2" customWidth="1"/>
    <col min="57" max="57" width="7.85546875" style="2" customWidth="1"/>
    <col min="58" max="58" width="14.7109375" style="2" customWidth="1"/>
    <col min="59" max="92" width="9.140625" style="2"/>
    <col min="93" max="93" width="3.42578125" style="2" customWidth="1"/>
    <col min="94" max="94" width="8.140625" style="2" customWidth="1"/>
    <col min="95" max="95" width="7.42578125" style="2" customWidth="1"/>
    <col min="96" max="97" width="6.85546875" style="2" customWidth="1"/>
    <col min="98" max="98" width="6.7109375" style="2" customWidth="1"/>
    <col min="99" max="99" width="7" style="2" customWidth="1"/>
    <col min="100" max="105" width="7.140625" style="2" customWidth="1"/>
    <col min="106" max="110" width="7.42578125" style="2" customWidth="1"/>
    <col min="111" max="118" width="7.28515625" style="2" customWidth="1"/>
    <col min="119" max="121" width="7.140625" style="2" customWidth="1"/>
    <col min="122" max="126" width="7.42578125" style="2" customWidth="1"/>
    <col min="127" max="130" width="7.28515625" style="2" customWidth="1"/>
    <col min="131" max="134" width="6.85546875" style="2" customWidth="1"/>
    <col min="135" max="138" width="7.140625" style="2" customWidth="1"/>
    <col min="139" max="139" width="7.5703125" style="2" customWidth="1"/>
    <col min="140" max="140" width="6.85546875" style="2" customWidth="1"/>
    <col min="141" max="141" width="7.5703125" style="2" customWidth="1"/>
    <col min="142" max="143" width="7" style="2" customWidth="1"/>
    <col min="144" max="144" width="8.85546875" style="2" customWidth="1"/>
    <col min="145" max="145" width="6.85546875" style="2" customWidth="1"/>
    <col min="146" max="146" width="9.42578125" style="2" customWidth="1"/>
    <col min="147" max="147" width="6.85546875" style="2" customWidth="1"/>
    <col min="148" max="148" width="10.7109375" style="2" customWidth="1"/>
    <col min="149" max="149" width="7.85546875" style="2" customWidth="1"/>
    <col min="150" max="150" width="14.7109375" style="2" customWidth="1"/>
    <col min="151" max="348" width="9.140625" style="2"/>
    <col min="349" max="349" width="3.42578125" style="2" customWidth="1"/>
    <col min="350" max="350" width="8.140625" style="2" customWidth="1"/>
    <col min="351" max="351" width="7.42578125" style="2" customWidth="1"/>
    <col min="352" max="353" width="6.85546875" style="2" customWidth="1"/>
    <col min="354" max="354" width="6.7109375" style="2" customWidth="1"/>
    <col min="355" max="355" width="7" style="2" customWidth="1"/>
    <col min="356" max="361" width="7.140625" style="2" customWidth="1"/>
    <col min="362" max="366" width="7.42578125" style="2" customWidth="1"/>
    <col min="367" max="374" width="7.28515625" style="2" customWidth="1"/>
    <col min="375" max="377" width="7.140625" style="2" customWidth="1"/>
    <col min="378" max="382" width="7.42578125" style="2" customWidth="1"/>
    <col min="383" max="386" width="7.28515625" style="2" customWidth="1"/>
    <col min="387" max="390" width="6.85546875" style="2" customWidth="1"/>
    <col min="391" max="394" width="7.140625" style="2" customWidth="1"/>
    <col min="395" max="395" width="7.5703125" style="2" customWidth="1"/>
    <col min="396" max="396" width="6.85546875" style="2" customWidth="1"/>
    <col min="397" max="397" width="7.5703125" style="2" customWidth="1"/>
    <col min="398" max="399" width="7" style="2" customWidth="1"/>
    <col min="400" max="400" width="8.85546875" style="2" customWidth="1"/>
    <col min="401" max="401" width="6.85546875" style="2" customWidth="1"/>
    <col min="402" max="402" width="9.42578125" style="2" customWidth="1"/>
    <col min="403" max="403" width="6.85546875" style="2" customWidth="1"/>
    <col min="404" max="404" width="10.7109375" style="2" customWidth="1"/>
    <col min="405" max="405" width="7.85546875" style="2" customWidth="1"/>
    <col min="406" max="406" width="14.7109375" style="2" customWidth="1"/>
    <col min="407" max="604" width="9.140625" style="2"/>
    <col min="605" max="605" width="3.42578125" style="2" customWidth="1"/>
    <col min="606" max="606" width="8.140625" style="2" customWidth="1"/>
    <col min="607" max="607" width="7.42578125" style="2" customWidth="1"/>
    <col min="608" max="609" width="6.85546875" style="2" customWidth="1"/>
    <col min="610" max="610" width="6.7109375" style="2" customWidth="1"/>
    <col min="611" max="611" width="7" style="2" customWidth="1"/>
    <col min="612" max="617" width="7.140625" style="2" customWidth="1"/>
    <col min="618" max="622" width="7.42578125" style="2" customWidth="1"/>
    <col min="623" max="630" width="7.28515625" style="2" customWidth="1"/>
    <col min="631" max="633" width="7.140625" style="2" customWidth="1"/>
    <col min="634" max="638" width="7.42578125" style="2" customWidth="1"/>
    <col min="639" max="642" width="7.28515625" style="2" customWidth="1"/>
    <col min="643" max="646" width="6.85546875" style="2" customWidth="1"/>
    <col min="647" max="650" width="7.140625" style="2" customWidth="1"/>
    <col min="651" max="651" width="7.5703125" style="2" customWidth="1"/>
    <col min="652" max="652" width="6.85546875" style="2" customWidth="1"/>
    <col min="653" max="653" width="7.5703125" style="2" customWidth="1"/>
    <col min="654" max="655" width="7" style="2" customWidth="1"/>
    <col min="656" max="656" width="8.85546875" style="2" customWidth="1"/>
    <col min="657" max="657" width="6.85546875" style="2" customWidth="1"/>
    <col min="658" max="658" width="9.42578125" style="2" customWidth="1"/>
    <col min="659" max="659" width="6.85546875" style="2" customWidth="1"/>
    <col min="660" max="660" width="10.7109375" style="2" customWidth="1"/>
    <col min="661" max="661" width="7.85546875" style="2" customWidth="1"/>
    <col min="662" max="662" width="14.7109375" style="2" customWidth="1"/>
    <col min="663" max="860" width="9.140625" style="2"/>
    <col min="861" max="861" width="3.42578125" style="2" customWidth="1"/>
    <col min="862" max="862" width="8.140625" style="2" customWidth="1"/>
    <col min="863" max="863" width="7.42578125" style="2" customWidth="1"/>
    <col min="864" max="865" width="6.85546875" style="2" customWidth="1"/>
    <col min="866" max="866" width="6.7109375" style="2" customWidth="1"/>
    <col min="867" max="867" width="7" style="2" customWidth="1"/>
    <col min="868" max="873" width="7.140625" style="2" customWidth="1"/>
    <col min="874" max="878" width="7.42578125" style="2" customWidth="1"/>
    <col min="879" max="886" width="7.28515625" style="2" customWidth="1"/>
    <col min="887" max="889" width="7.140625" style="2" customWidth="1"/>
    <col min="890" max="894" width="7.42578125" style="2" customWidth="1"/>
    <col min="895" max="898" width="7.28515625" style="2" customWidth="1"/>
    <col min="899" max="902" width="6.85546875" style="2" customWidth="1"/>
    <col min="903" max="906" width="7.140625" style="2" customWidth="1"/>
    <col min="907" max="907" width="7.5703125" style="2" customWidth="1"/>
    <col min="908" max="908" width="6.85546875" style="2" customWidth="1"/>
    <col min="909" max="909" width="7.5703125" style="2" customWidth="1"/>
    <col min="910" max="911" width="7" style="2" customWidth="1"/>
    <col min="912" max="912" width="8.85546875" style="2" customWidth="1"/>
    <col min="913" max="913" width="6.85546875" style="2" customWidth="1"/>
    <col min="914" max="914" width="9.42578125" style="2" customWidth="1"/>
    <col min="915" max="915" width="6.85546875" style="2" customWidth="1"/>
    <col min="916" max="916" width="10.7109375" style="2" customWidth="1"/>
    <col min="917" max="917" width="7.85546875" style="2" customWidth="1"/>
    <col min="918" max="918" width="14.7109375" style="2" customWidth="1"/>
    <col min="919" max="1116" width="9.140625" style="2"/>
    <col min="1117" max="1117" width="3.42578125" style="2" customWidth="1"/>
    <col min="1118" max="1118" width="8.140625" style="2" customWidth="1"/>
    <col min="1119" max="1119" width="7.42578125" style="2" customWidth="1"/>
    <col min="1120" max="1121" width="6.85546875" style="2" customWidth="1"/>
    <col min="1122" max="1122" width="6.7109375" style="2" customWidth="1"/>
    <col min="1123" max="1123" width="7" style="2" customWidth="1"/>
    <col min="1124" max="1129" width="7.140625" style="2" customWidth="1"/>
    <col min="1130" max="1134" width="7.42578125" style="2" customWidth="1"/>
    <col min="1135" max="1142" width="7.28515625" style="2" customWidth="1"/>
    <col min="1143" max="1145" width="7.140625" style="2" customWidth="1"/>
    <col min="1146" max="1150" width="7.42578125" style="2" customWidth="1"/>
    <col min="1151" max="1154" width="7.28515625" style="2" customWidth="1"/>
    <col min="1155" max="1158" width="6.85546875" style="2" customWidth="1"/>
    <col min="1159" max="1162" width="7.140625" style="2" customWidth="1"/>
    <col min="1163" max="1163" width="7.5703125" style="2" customWidth="1"/>
    <col min="1164" max="1164" width="6.85546875" style="2" customWidth="1"/>
    <col min="1165" max="1165" width="7.5703125" style="2" customWidth="1"/>
    <col min="1166" max="1167" width="7" style="2" customWidth="1"/>
    <col min="1168" max="1168" width="8.85546875" style="2" customWidth="1"/>
    <col min="1169" max="1169" width="6.85546875" style="2" customWidth="1"/>
    <col min="1170" max="1170" width="9.42578125" style="2" customWidth="1"/>
    <col min="1171" max="1171" width="6.85546875" style="2" customWidth="1"/>
    <col min="1172" max="1172" width="10.7109375" style="2" customWidth="1"/>
    <col min="1173" max="1173" width="7.85546875" style="2" customWidth="1"/>
    <col min="1174" max="1174" width="14.7109375" style="2" customWidth="1"/>
    <col min="1175" max="1372" width="9.140625" style="2"/>
    <col min="1373" max="1373" width="3.42578125" style="2" customWidth="1"/>
    <col min="1374" max="1374" width="8.140625" style="2" customWidth="1"/>
    <col min="1375" max="1375" width="7.42578125" style="2" customWidth="1"/>
    <col min="1376" max="1377" width="6.85546875" style="2" customWidth="1"/>
    <col min="1378" max="1378" width="6.7109375" style="2" customWidth="1"/>
    <col min="1379" max="1379" width="7" style="2" customWidth="1"/>
    <col min="1380" max="1385" width="7.140625" style="2" customWidth="1"/>
    <col min="1386" max="1390" width="7.42578125" style="2" customWidth="1"/>
    <col min="1391" max="1398" width="7.28515625" style="2" customWidth="1"/>
    <col min="1399" max="1401" width="7.140625" style="2" customWidth="1"/>
    <col min="1402" max="1406" width="7.42578125" style="2" customWidth="1"/>
    <col min="1407" max="1410" width="7.28515625" style="2" customWidth="1"/>
    <col min="1411" max="1414" width="6.85546875" style="2" customWidth="1"/>
    <col min="1415" max="1418" width="7.140625" style="2" customWidth="1"/>
    <col min="1419" max="1419" width="7.5703125" style="2" customWidth="1"/>
    <col min="1420" max="1420" width="6.85546875" style="2" customWidth="1"/>
    <col min="1421" max="1421" width="7.5703125" style="2" customWidth="1"/>
    <col min="1422" max="1423" width="7" style="2" customWidth="1"/>
    <col min="1424" max="1424" width="8.85546875" style="2" customWidth="1"/>
    <col min="1425" max="1425" width="6.85546875" style="2" customWidth="1"/>
    <col min="1426" max="1426" width="9.42578125" style="2" customWidth="1"/>
    <col min="1427" max="1427" width="6.85546875" style="2" customWidth="1"/>
    <col min="1428" max="1428" width="10.7109375" style="2" customWidth="1"/>
    <col min="1429" max="1429" width="7.85546875" style="2" customWidth="1"/>
    <col min="1430" max="1430" width="14.7109375" style="2" customWidth="1"/>
    <col min="1431" max="1628" width="9.140625" style="2"/>
    <col min="1629" max="1629" width="3.42578125" style="2" customWidth="1"/>
    <col min="1630" max="1630" width="8.140625" style="2" customWidth="1"/>
    <col min="1631" max="1631" width="7.42578125" style="2" customWidth="1"/>
    <col min="1632" max="1633" width="6.85546875" style="2" customWidth="1"/>
    <col min="1634" max="1634" width="6.7109375" style="2" customWidth="1"/>
    <col min="1635" max="1635" width="7" style="2" customWidth="1"/>
    <col min="1636" max="1641" width="7.140625" style="2" customWidth="1"/>
    <col min="1642" max="1646" width="7.42578125" style="2" customWidth="1"/>
    <col min="1647" max="1654" width="7.28515625" style="2" customWidth="1"/>
    <col min="1655" max="1657" width="7.140625" style="2" customWidth="1"/>
    <col min="1658" max="1662" width="7.42578125" style="2" customWidth="1"/>
    <col min="1663" max="1666" width="7.28515625" style="2" customWidth="1"/>
    <col min="1667" max="1670" width="6.85546875" style="2" customWidth="1"/>
    <col min="1671" max="1674" width="7.140625" style="2" customWidth="1"/>
    <col min="1675" max="1675" width="7.5703125" style="2" customWidth="1"/>
    <col min="1676" max="1676" width="6.85546875" style="2" customWidth="1"/>
    <col min="1677" max="1677" width="7.5703125" style="2" customWidth="1"/>
    <col min="1678" max="1679" width="7" style="2" customWidth="1"/>
    <col min="1680" max="1680" width="8.85546875" style="2" customWidth="1"/>
    <col min="1681" max="1681" width="6.85546875" style="2" customWidth="1"/>
    <col min="1682" max="1682" width="9.42578125" style="2" customWidth="1"/>
    <col min="1683" max="1683" width="6.85546875" style="2" customWidth="1"/>
    <col min="1684" max="1684" width="10.7109375" style="2" customWidth="1"/>
    <col min="1685" max="1685" width="7.85546875" style="2" customWidth="1"/>
    <col min="1686" max="1686" width="14.7109375" style="2" customWidth="1"/>
    <col min="1687" max="1884" width="9.140625" style="2"/>
    <col min="1885" max="1885" width="3.42578125" style="2" customWidth="1"/>
    <col min="1886" max="1886" width="8.140625" style="2" customWidth="1"/>
    <col min="1887" max="1887" width="7.42578125" style="2" customWidth="1"/>
    <col min="1888" max="1889" width="6.85546875" style="2" customWidth="1"/>
    <col min="1890" max="1890" width="6.7109375" style="2" customWidth="1"/>
    <col min="1891" max="1891" width="7" style="2" customWidth="1"/>
    <col min="1892" max="1897" width="7.140625" style="2" customWidth="1"/>
    <col min="1898" max="1902" width="7.42578125" style="2" customWidth="1"/>
    <col min="1903" max="1910" width="7.28515625" style="2" customWidth="1"/>
    <col min="1911" max="1913" width="7.140625" style="2" customWidth="1"/>
    <col min="1914" max="1918" width="7.42578125" style="2" customWidth="1"/>
    <col min="1919" max="1922" width="7.28515625" style="2" customWidth="1"/>
    <col min="1923" max="1926" width="6.85546875" style="2" customWidth="1"/>
    <col min="1927" max="1930" width="7.140625" style="2" customWidth="1"/>
    <col min="1931" max="1931" width="7.5703125" style="2" customWidth="1"/>
    <col min="1932" max="1932" width="6.85546875" style="2" customWidth="1"/>
    <col min="1933" max="1933" width="7.5703125" style="2" customWidth="1"/>
    <col min="1934" max="1935" width="7" style="2" customWidth="1"/>
    <col min="1936" max="1936" width="8.85546875" style="2" customWidth="1"/>
    <col min="1937" max="1937" width="6.85546875" style="2" customWidth="1"/>
    <col min="1938" max="1938" width="9.42578125" style="2" customWidth="1"/>
    <col min="1939" max="1939" width="6.85546875" style="2" customWidth="1"/>
    <col min="1940" max="1940" width="10.7109375" style="2" customWidth="1"/>
    <col min="1941" max="1941" width="7.85546875" style="2" customWidth="1"/>
    <col min="1942" max="1942" width="14.7109375" style="2" customWidth="1"/>
    <col min="1943" max="2140" width="9.140625" style="2"/>
    <col min="2141" max="2141" width="3.42578125" style="2" customWidth="1"/>
    <col min="2142" max="2142" width="8.140625" style="2" customWidth="1"/>
    <col min="2143" max="2143" width="7.42578125" style="2" customWidth="1"/>
    <col min="2144" max="2145" width="6.85546875" style="2" customWidth="1"/>
    <col min="2146" max="2146" width="6.7109375" style="2" customWidth="1"/>
    <col min="2147" max="2147" width="7" style="2" customWidth="1"/>
    <col min="2148" max="2153" width="7.140625" style="2" customWidth="1"/>
    <col min="2154" max="2158" width="7.42578125" style="2" customWidth="1"/>
    <col min="2159" max="2166" width="7.28515625" style="2" customWidth="1"/>
    <col min="2167" max="2169" width="7.140625" style="2" customWidth="1"/>
    <col min="2170" max="2174" width="7.42578125" style="2" customWidth="1"/>
    <col min="2175" max="2178" width="7.28515625" style="2" customWidth="1"/>
    <col min="2179" max="2182" width="6.85546875" style="2" customWidth="1"/>
    <col min="2183" max="2186" width="7.140625" style="2" customWidth="1"/>
    <col min="2187" max="2187" width="7.5703125" style="2" customWidth="1"/>
    <col min="2188" max="2188" width="6.85546875" style="2" customWidth="1"/>
    <col min="2189" max="2189" width="7.5703125" style="2" customWidth="1"/>
    <col min="2190" max="2191" width="7" style="2" customWidth="1"/>
    <col min="2192" max="2192" width="8.85546875" style="2" customWidth="1"/>
    <col min="2193" max="2193" width="6.85546875" style="2" customWidth="1"/>
    <col min="2194" max="2194" width="9.42578125" style="2" customWidth="1"/>
    <col min="2195" max="2195" width="6.85546875" style="2" customWidth="1"/>
    <col min="2196" max="2196" width="10.7109375" style="2" customWidth="1"/>
    <col min="2197" max="2197" width="7.85546875" style="2" customWidth="1"/>
    <col min="2198" max="2198" width="14.7109375" style="2" customWidth="1"/>
    <col min="2199" max="2396" width="9.140625" style="2"/>
    <col min="2397" max="2397" width="3.42578125" style="2" customWidth="1"/>
    <col min="2398" max="2398" width="8.140625" style="2" customWidth="1"/>
    <col min="2399" max="2399" width="7.42578125" style="2" customWidth="1"/>
    <col min="2400" max="2401" width="6.85546875" style="2" customWidth="1"/>
    <col min="2402" max="2402" width="6.7109375" style="2" customWidth="1"/>
    <col min="2403" max="2403" width="7" style="2" customWidth="1"/>
    <col min="2404" max="2409" width="7.140625" style="2" customWidth="1"/>
    <col min="2410" max="2414" width="7.42578125" style="2" customWidth="1"/>
    <col min="2415" max="2422" width="7.28515625" style="2" customWidth="1"/>
    <col min="2423" max="2425" width="7.140625" style="2" customWidth="1"/>
    <col min="2426" max="2430" width="7.42578125" style="2" customWidth="1"/>
    <col min="2431" max="2434" width="7.28515625" style="2" customWidth="1"/>
    <col min="2435" max="2438" width="6.85546875" style="2" customWidth="1"/>
    <col min="2439" max="2442" width="7.140625" style="2" customWidth="1"/>
    <col min="2443" max="2443" width="7.5703125" style="2" customWidth="1"/>
    <col min="2444" max="2444" width="6.85546875" style="2" customWidth="1"/>
    <col min="2445" max="2445" width="7.5703125" style="2" customWidth="1"/>
    <col min="2446" max="2447" width="7" style="2" customWidth="1"/>
    <col min="2448" max="2448" width="8.85546875" style="2" customWidth="1"/>
    <col min="2449" max="2449" width="6.85546875" style="2" customWidth="1"/>
    <col min="2450" max="2450" width="9.42578125" style="2" customWidth="1"/>
    <col min="2451" max="2451" width="6.85546875" style="2" customWidth="1"/>
    <col min="2452" max="2452" width="10.7109375" style="2" customWidth="1"/>
    <col min="2453" max="2453" width="7.85546875" style="2" customWidth="1"/>
    <col min="2454" max="2454" width="14.7109375" style="2" customWidth="1"/>
    <col min="2455" max="2652" width="9.140625" style="2"/>
    <col min="2653" max="2653" width="3.42578125" style="2" customWidth="1"/>
    <col min="2654" max="2654" width="8.140625" style="2" customWidth="1"/>
    <col min="2655" max="2655" width="7.42578125" style="2" customWidth="1"/>
    <col min="2656" max="2657" width="6.85546875" style="2" customWidth="1"/>
    <col min="2658" max="2658" width="6.7109375" style="2" customWidth="1"/>
    <col min="2659" max="2659" width="7" style="2" customWidth="1"/>
    <col min="2660" max="2665" width="7.140625" style="2" customWidth="1"/>
    <col min="2666" max="2670" width="7.42578125" style="2" customWidth="1"/>
    <col min="2671" max="2678" width="7.28515625" style="2" customWidth="1"/>
    <col min="2679" max="2681" width="7.140625" style="2" customWidth="1"/>
    <col min="2682" max="2686" width="7.42578125" style="2" customWidth="1"/>
    <col min="2687" max="2690" width="7.28515625" style="2" customWidth="1"/>
    <col min="2691" max="2694" width="6.85546875" style="2" customWidth="1"/>
    <col min="2695" max="2698" width="7.140625" style="2" customWidth="1"/>
    <col min="2699" max="2699" width="7.5703125" style="2" customWidth="1"/>
    <col min="2700" max="2700" width="6.85546875" style="2" customWidth="1"/>
    <col min="2701" max="2701" width="7.5703125" style="2" customWidth="1"/>
    <col min="2702" max="2703" width="7" style="2" customWidth="1"/>
    <col min="2704" max="2704" width="8.85546875" style="2" customWidth="1"/>
    <col min="2705" max="2705" width="6.85546875" style="2" customWidth="1"/>
    <col min="2706" max="2706" width="9.42578125" style="2" customWidth="1"/>
    <col min="2707" max="2707" width="6.85546875" style="2" customWidth="1"/>
    <col min="2708" max="2708" width="10.7109375" style="2" customWidth="1"/>
    <col min="2709" max="2709" width="7.85546875" style="2" customWidth="1"/>
    <col min="2710" max="2710" width="14.7109375" style="2" customWidth="1"/>
    <col min="2711" max="2908" width="9.140625" style="2"/>
    <col min="2909" max="2909" width="3.42578125" style="2" customWidth="1"/>
    <col min="2910" max="2910" width="8.140625" style="2" customWidth="1"/>
    <col min="2911" max="2911" width="7.42578125" style="2" customWidth="1"/>
    <col min="2912" max="2913" width="6.85546875" style="2" customWidth="1"/>
    <col min="2914" max="2914" width="6.7109375" style="2" customWidth="1"/>
    <col min="2915" max="2915" width="7" style="2" customWidth="1"/>
    <col min="2916" max="2921" width="7.140625" style="2" customWidth="1"/>
    <col min="2922" max="2926" width="7.42578125" style="2" customWidth="1"/>
    <col min="2927" max="2934" width="7.28515625" style="2" customWidth="1"/>
    <col min="2935" max="2937" width="7.140625" style="2" customWidth="1"/>
    <col min="2938" max="2942" width="7.42578125" style="2" customWidth="1"/>
    <col min="2943" max="2946" width="7.28515625" style="2" customWidth="1"/>
    <col min="2947" max="2950" width="6.85546875" style="2" customWidth="1"/>
    <col min="2951" max="2954" width="7.140625" style="2" customWidth="1"/>
    <col min="2955" max="2955" width="7.5703125" style="2" customWidth="1"/>
    <col min="2956" max="2956" width="6.85546875" style="2" customWidth="1"/>
    <col min="2957" max="2957" width="7.5703125" style="2" customWidth="1"/>
    <col min="2958" max="2959" width="7" style="2" customWidth="1"/>
    <col min="2960" max="2960" width="8.85546875" style="2" customWidth="1"/>
    <col min="2961" max="2961" width="6.85546875" style="2" customWidth="1"/>
    <col min="2962" max="2962" width="9.42578125" style="2" customWidth="1"/>
    <col min="2963" max="2963" width="6.85546875" style="2" customWidth="1"/>
    <col min="2964" max="2964" width="10.7109375" style="2" customWidth="1"/>
    <col min="2965" max="2965" width="7.85546875" style="2" customWidth="1"/>
    <col min="2966" max="2966" width="14.7109375" style="2" customWidth="1"/>
    <col min="2967" max="3164" width="9.140625" style="2"/>
    <col min="3165" max="3165" width="3.42578125" style="2" customWidth="1"/>
    <col min="3166" max="3166" width="8.140625" style="2" customWidth="1"/>
    <col min="3167" max="3167" width="7.42578125" style="2" customWidth="1"/>
    <col min="3168" max="3169" width="6.85546875" style="2" customWidth="1"/>
    <col min="3170" max="3170" width="6.7109375" style="2" customWidth="1"/>
    <col min="3171" max="3171" width="7" style="2" customWidth="1"/>
    <col min="3172" max="3177" width="7.140625" style="2" customWidth="1"/>
    <col min="3178" max="3182" width="7.42578125" style="2" customWidth="1"/>
    <col min="3183" max="3190" width="7.28515625" style="2" customWidth="1"/>
    <col min="3191" max="3193" width="7.140625" style="2" customWidth="1"/>
    <col min="3194" max="3198" width="7.42578125" style="2" customWidth="1"/>
    <col min="3199" max="3202" width="7.28515625" style="2" customWidth="1"/>
    <col min="3203" max="3206" width="6.85546875" style="2" customWidth="1"/>
    <col min="3207" max="3210" width="7.140625" style="2" customWidth="1"/>
    <col min="3211" max="3211" width="7.5703125" style="2" customWidth="1"/>
    <col min="3212" max="3212" width="6.85546875" style="2" customWidth="1"/>
    <col min="3213" max="3213" width="7.5703125" style="2" customWidth="1"/>
    <col min="3214" max="3215" width="7" style="2" customWidth="1"/>
    <col min="3216" max="3216" width="8.85546875" style="2" customWidth="1"/>
    <col min="3217" max="3217" width="6.85546875" style="2" customWidth="1"/>
    <col min="3218" max="3218" width="9.42578125" style="2" customWidth="1"/>
    <col min="3219" max="3219" width="6.85546875" style="2" customWidth="1"/>
    <col min="3220" max="3220" width="10.7109375" style="2" customWidth="1"/>
    <col min="3221" max="3221" width="7.85546875" style="2" customWidth="1"/>
    <col min="3222" max="3222" width="14.7109375" style="2" customWidth="1"/>
    <col min="3223" max="3420" width="9.140625" style="2"/>
    <col min="3421" max="3421" width="3.42578125" style="2" customWidth="1"/>
    <col min="3422" max="3422" width="8.140625" style="2" customWidth="1"/>
    <col min="3423" max="3423" width="7.42578125" style="2" customWidth="1"/>
    <col min="3424" max="3425" width="6.85546875" style="2" customWidth="1"/>
    <col min="3426" max="3426" width="6.7109375" style="2" customWidth="1"/>
    <col min="3427" max="3427" width="7" style="2" customWidth="1"/>
    <col min="3428" max="3433" width="7.140625" style="2" customWidth="1"/>
    <col min="3434" max="3438" width="7.42578125" style="2" customWidth="1"/>
    <col min="3439" max="3446" width="7.28515625" style="2" customWidth="1"/>
    <col min="3447" max="3449" width="7.140625" style="2" customWidth="1"/>
    <col min="3450" max="3454" width="7.42578125" style="2" customWidth="1"/>
    <col min="3455" max="3458" width="7.28515625" style="2" customWidth="1"/>
    <col min="3459" max="3462" width="6.85546875" style="2" customWidth="1"/>
    <col min="3463" max="3466" width="7.140625" style="2" customWidth="1"/>
    <col min="3467" max="3467" width="7.5703125" style="2" customWidth="1"/>
    <col min="3468" max="3468" width="6.85546875" style="2" customWidth="1"/>
    <col min="3469" max="3469" width="7.5703125" style="2" customWidth="1"/>
    <col min="3470" max="3471" width="7" style="2" customWidth="1"/>
    <col min="3472" max="3472" width="8.85546875" style="2" customWidth="1"/>
    <col min="3473" max="3473" width="6.85546875" style="2" customWidth="1"/>
    <col min="3474" max="3474" width="9.42578125" style="2" customWidth="1"/>
    <col min="3475" max="3475" width="6.85546875" style="2" customWidth="1"/>
    <col min="3476" max="3476" width="10.7109375" style="2" customWidth="1"/>
    <col min="3477" max="3477" width="7.85546875" style="2" customWidth="1"/>
    <col min="3478" max="3478" width="14.7109375" style="2" customWidth="1"/>
    <col min="3479" max="3676" width="9.140625" style="2"/>
    <col min="3677" max="3677" width="3.42578125" style="2" customWidth="1"/>
    <col min="3678" max="3678" width="8.140625" style="2" customWidth="1"/>
    <col min="3679" max="3679" width="7.42578125" style="2" customWidth="1"/>
    <col min="3680" max="3681" width="6.85546875" style="2" customWidth="1"/>
    <col min="3682" max="3682" width="6.7109375" style="2" customWidth="1"/>
    <col min="3683" max="3683" width="7" style="2" customWidth="1"/>
    <col min="3684" max="3689" width="7.140625" style="2" customWidth="1"/>
    <col min="3690" max="3694" width="7.42578125" style="2" customWidth="1"/>
    <col min="3695" max="3702" width="7.28515625" style="2" customWidth="1"/>
    <col min="3703" max="3705" width="7.140625" style="2" customWidth="1"/>
    <col min="3706" max="3710" width="7.42578125" style="2" customWidth="1"/>
    <col min="3711" max="3714" width="7.28515625" style="2" customWidth="1"/>
    <col min="3715" max="3718" width="6.85546875" style="2" customWidth="1"/>
    <col min="3719" max="3722" width="7.140625" style="2" customWidth="1"/>
    <col min="3723" max="3723" width="7.5703125" style="2" customWidth="1"/>
    <col min="3724" max="3724" width="6.85546875" style="2" customWidth="1"/>
    <col min="3725" max="3725" width="7.5703125" style="2" customWidth="1"/>
    <col min="3726" max="3727" width="7" style="2" customWidth="1"/>
    <col min="3728" max="3728" width="8.85546875" style="2" customWidth="1"/>
    <col min="3729" max="3729" width="6.85546875" style="2" customWidth="1"/>
    <col min="3730" max="3730" width="9.42578125" style="2" customWidth="1"/>
    <col min="3731" max="3731" width="6.85546875" style="2" customWidth="1"/>
    <col min="3732" max="3732" width="10.7109375" style="2" customWidth="1"/>
    <col min="3733" max="3733" width="7.85546875" style="2" customWidth="1"/>
    <col min="3734" max="3734" width="14.7109375" style="2" customWidth="1"/>
    <col min="3735" max="3932" width="9.140625" style="2"/>
    <col min="3933" max="3933" width="3.42578125" style="2" customWidth="1"/>
    <col min="3934" max="3934" width="8.140625" style="2" customWidth="1"/>
    <col min="3935" max="3935" width="7.42578125" style="2" customWidth="1"/>
    <col min="3936" max="3937" width="6.85546875" style="2" customWidth="1"/>
    <col min="3938" max="3938" width="6.7109375" style="2" customWidth="1"/>
    <col min="3939" max="3939" width="7" style="2" customWidth="1"/>
    <col min="3940" max="3945" width="7.140625" style="2" customWidth="1"/>
    <col min="3946" max="3950" width="7.42578125" style="2" customWidth="1"/>
    <col min="3951" max="3958" width="7.28515625" style="2" customWidth="1"/>
    <col min="3959" max="3961" width="7.140625" style="2" customWidth="1"/>
    <col min="3962" max="3966" width="7.42578125" style="2" customWidth="1"/>
    <col min="3967" max="3970" width="7.28515625" style="2" customWidth="1"/>
    <col min="3971" max="3974" width="6.85546875" style="2" customWidth="1"/>
    <col min="3975" max="3978" width="7.140625" style="2" customWidth="1"/>
    <col min="3979" max="3979" width="7.5703125" style="2" customWidth="1"/>
    <col min="3980" max="3980" width="6.85546875" style="2" customWidth="1"/>
    <col min="3981" max="3981" width="7.5703125" style="2" customWidth="1"/>
    <col min="3982" max="3983" width="7" style="2" customWidth="1"/>
    <col min="3984" max="3984" width="8.85546875" style="2" customWidth="1"/>
    <col min="3985" max="3985" width="6.85546875" style="2" customWidth="1"/>
    <col min="3986" max="3986" width="9.42578125" style="2" customWidth="1"/>
    <col min="3987" max="3987" width="6.85546875" style="2" customWidth="1"/>
    <col min="3988" max="3988" width="10.7109375" style="2" customWidth="1"/>
    <col min="3989" max="3989" width="7.85546875" style="2" customWidth="1"/>
    <col min="3990" max="3990" width="14.7109375" style="2" customWidth="1"/>
    <col min="3991" max="4188" width="9.140625" style="2"/>
    <col min="4189" max="4189" width="3.42578125" style="2" customWidth="1"/>
    <col min="4190" max="4190" width="8.140625" style="2" customWidth="1"/>
    <col min="4191" max="4191" width="7.42578125" style="2" customWidth="1"/>
    <col min="4192" max="4193" width="6.85546875" style="2" customWidth="1"/>
    <col min="4194" max="4194" width="6.7109375" style="2" customWidth="1"/>
    <col min="4195" max="4195" width="7" style="2" customWidth="1"/>
    <col min="4196" max="4201" width="7.140625" style="2" customWidth="1"/>
    <col min="4202" max="4206" width="7.42578125" style="2" customWidth="1"/>
    <col min="4207" max="4214" width="7.28515625" style="2" customWidth="1"/>
    <col min="4215" max="4217" width="7.140625" style="2" customWidth="1"/>
    <col min="4218" max="4222" width="7.42578125" style="2" customWidth="1"/>
    <col min="4223" max="4226" width="7.28515625" style="2" customWidth="1"/>
    <col min="4227" max="4230" width="6.85546875" style="2" customWidth="1"/>
    <col min="4231" max="4234" width="7.140625" style="2" customWidth="1"/>
    <col min="4235" max="4235" width="7.5703125" style="2" customWidth="1"/>
    <col min="4236" max="4236" width="6.85546875" style="2" customWidth="1"/>
    <col min="4237" max="4237" width="7.5703125" style="2" customWidth="1"/>
    <col min="4238" max="4239" width="7" style="2" customWidth="1"/>
    <col min="4240" max="4240" width="8.85546875" style="2" customWidth="1"/>
    <col min="4241" max="4241" width="6.85546875" style="2" customWidth="1"/>
    <col min="4242" max="4242" width="9.42578125" style="2" customWidth="1"/>
    <col min="4243" max="4243" width="6.85546875" style="2" customWidth="1"/>
    <col min="4244" max="4244" width="10.7109375" style="2" customWidth="1"/>
    <col min="4245" max="4245" width="7.85546875" style="2" customWidth="1"/>
    <col min="4246" max="4246" width="14.7109375" style="2" customWidth="1"/>
    <col min="4247" max="4444" width="9.140625" style="2"/>
    <col min="4445" max="4445" width="3.42578125" style="2" customWidth="1"/>
    <col min="4446" max="4446" width="8.140625" style="2" customWidth="1"/>
    <col min="4447" max="4447" width="7.42578125" style="2" customWidth="1"/>
    <col min="4448" max="4449" width="6.85546875" style="2" customWidth="1"/>
    <col min="4450" max="4450" width="6.7109375" style="2" customWidth="1"/>
    <col min="4451" max="4451" width="7" style="2" customWidth="1"/>
    <col min="4452" max="4457" width="7.140625" style="2" customWidth="1"/>
    <col min="4458" max="4462" width="7.42578125" style="2" customWidth="1"/>
    <col min="4463" max="4470" width="7.28515625" style="2" customWidth="1"/>
    <col min="4471" max="4473" width="7.140625" style="2" customWidth="1"/>
    <col min="4474" max="4478" width="7.42578125" style="2" customWidth="1"/>
    <col min="4479" max="4482" width="7.28515625" style="2" customWidth="1"/>
    <col min="4483" max="4486" width="6.85546875" style="2" customWidth="1"/>
    <col min="4487" max="4490" width="7.140625" style="2" customWidth="1"/>
    <col min="4491" max="4491" width="7.5703125" style="2" customWidth="1"/>
    <col min="4492" max="4492" width="6.85546875" style="2" customWidth="1"/>
    <col min="4493" max="4493" width="7.5703125" style="2" customWidth="1"/>
    <col min="4494" max="4495" width="7" style="2" customWidth="1"/>
    <col min="4496" max="4496" width="8.85546875" style="2" customWidth="1"/>
    <col min="4497" max="4497" width="6.85546875" style="2" customWidth="1"/>
    <col min="4498" max="4498" width="9.42578125" style="2" customWidth="1"/>
    <col min="4499" max="4499" width="6.85546875" style="2" customWidth="1"/>
    <col min="4500" max="4500" width="10.7109375" style="2" customWidth="1"/>
    <col min="4501" max="4501" width="7.85546875" style="2" customWidth="1"/>
    <col min="4502" max="4502" width="14.7109375" style="2" customWidth="1"/>
    <col min="4503" max="4700" width="9.140625" style="2"/>
    <col min="4701" max="4701" width="3.42578125" style="2" customWidth="1"/>
    <col min="4702" max="4702" width="8.140625" style="2" customWidth="1"/>
    <col min="4703" max="4703" width="7.42578125" style="2" customWidth="1"/>
    <col min="4704" max="4705" width="6.85546875" style="2" customWidth="1"/>
    <col min="4706" max="4706" width="6.7109375" style="2" customWidth="1"/>
    <col min="4707" max="4707" width="7" style="2" customWidth="1"/>
    <col min="4708" max="4713" width="7.140625" style="2" customWidth="1"/>
    <col min="4714" max="4718" width="7.42578125" style="2" customWidth="1"/>
    <col min="4719" max="4726" width="7.28515625" style="2" customWidth="1"/>
    <col min="4727" max="4729" width="7.140625" style="2" customWidth="1"/>
    <col min="4730" max="4734" width="7.42578125" style="2" customWidth="1"/>
    <col min="4735" max="4738" width="7.28515625" style="2" customWidth="1"/>
    <col min="4739" max="4742" width="6.85546875" style="2" customWidth="1"/>
    <col min="4743" max="4746" width="7.140625" style="2" customWidth="1"/>
    <col min="4747" max="4747" width="7.5703125" style="2" customWidth="1"/>
    <col min="4748" max="4748" width="6.85546875" style="2" customWidth="1"/>
    <col min="4749" max="4749" width="7.5703125" style="2" customWidth="1"/>
    <col min="4750" max="4751" width="7" style="2" customWidth="1"/>
    <col min="4752" max="4752" width="8.85546875" style="2" customWidth="1"/>
    <col min="4753" max="4753" width="6.85546875" style="2" customWidth="1"/>
    <col min="4754" max="4754" width="9.42578125" style="2" customWidth="1"/>
    <col min="4755" max="4755" width="6.85546875" style="2" customWidth="1"/>
    <col min="4756" max="4756" width="10.7109375" style="2" customWidth="1"/>
    <col min="4757" max="4757" width="7.85546875" style="2" customWidth="1"/>
    <col min="4758" max="4758" width="14.7109375" style="2" customWidth="1"/>
    <col min="4759" max="4956" width="9.140625" style="2"/>
    <col min="4957" max="4957" width="3.42578125" style="2" customWidth="1"/>
    <col min="4958" max="4958" width="8.140625" style="2" customWidth="1"/>
    <col min="4959" max="4959" width="7.42578125" style="2" customWidth="1"/>
    <col min="4960" max="4961" width="6.85546875" style="2" customWidth="1"/>
    <col min="4962" max="4962" width="6.7109375" style="2" customWidth="1"/>
    <col min="4963" max="4963" width="7" style="2" customWidth="1"/>
    <col min="4964" max="4969" width="7.140625" style="2" customWidth="1"/>
    <col min="4970" max="4974" width="7.42578125" style="2" customWidth="1"/>
    <col min="4975" max="4982" width="7.28515625" style="2" customWidth="1"/>
    <col min="4983" max="4985" width="7.140625" style="2" customWidth="1"/>
    <col min="4986" max="4990" width="7.42578125" style="2" customWidth="1"/>
    <col min="4991" max="4994" width="7.28515625" style="2" customWidth="1"/>
    <col min="4995" max="4998" width="6.85546875" style="2" customWidth="1"/>
    <col min="4999" max="5002" width="7.140625" style="2" customWidth="1"/>
    <col min="5003" max="5003" width="7.5703125" style="2" customWidth="1"/>
    <col min="5004" max="5004" width="6.85546875" style="2" customWidth="1"/>
    <col min="5005" max="5005" width="7.5703125" style="2" customWidth="1"/>
    <col min="5006" max="5007" width="7" style="2" customWidth="1"/>
    <col min="5008" max="5008" width="8.85546875" style="2" customWidth="1"/>
    <col min="5009" max="5009" width="6.85546875" style="2" customWidth="1"/>
    <col min="5010" max="5010" width="9.42578125" style="2" customWidth="1"/>
    <col min="5011" max="5011" width="6.85546875" style="2" customWidth="1"/>
    <col min="5012" max="5012" width="10.7109375" style="2" customWidth="1"/>
    <col min="5013" max="5013" width="7.85546875" style="2" customWidth="1"/>
    <col min="5014" max="5014" width="14.7109375" style="2" customWidth="1"/>
    <col min="5015" max="5212" width="9.140625" style="2"/>
    <col min="5213" max="5213" width="3.42578125" style="2" customWidth="1"/>
    <col min="5214" max="5214" width="8.140625" style="2" customWidth="1"/>
    <col min="5215" max="5215" width="7.42578125" style="2" customWidth="1"/>
    <col min="5216" max="5217" width="6.85546875" style="2" customWidth="1"/>
    <col min="5218" max="5218" width="6.7109375" style="2" customWidth="1"/>
    <col min="5219" max="5219" width="7" style="2" customWidth="1"/>
    <col min="5220" max="5225" width="7.140625" style="2" customWidth="1"/>
    <col min="5226" max="5230" width="7.42578125" style="2" customWidth="1"/>
    <col min="5231" max="5238" width="7.28515625" style="2" customWidth="1"/>
    <col min="5239" max="5241" width="7.140625" style="2" customWidth="1"/>
    <col min="5242" max="5246" width="7.42578125" style="2" customWidth="1"/>
    <col min="5247" max="5250" width="7.28515625" style="2" customWidth="1"/>
    <col min="5251" max="5254" width="6.85546875" style="2" customWidth="1"/>
    <col min="5255" max="5258" width="7.140625" style="2" customWidth="1"/>
    <col min="5259" max="5259" width="7.5703125" style="2" customWidth="1"/>
    <col min="5260" max="5260" width="6.85546875" style="2" customWidth="1"/>
    <col min="5261" max="5261" width="7.5703125" style="2" customWidth="1"/>
    <col min="5262" max="5263" width="7" style="2" customWidth="1"/>
    <col min="5264" max="5264" width="8.85546875" style="2" customWidth="1"/>
    <col min="5265" max="5265" width="6.85546875" style="2" customWidth="1"/>
    <col min="5266" max="5266" width="9.42578125" style="2" customWidth="1"/>
    <col min="5267" max="5267" width="6.85546875" style="2" customWidth="1"/>
    <col min="5268" max="5268" width="10.7109375" style="2" customWidth="1"/>
    <col min="5269" max="5269" width="7.85546875" style="2" customWidth="1"/>
    <col min="5270" max="5270" width="14.7109375" style="2" customWidth="1"/>
    <col min="5271" max="5468" width="9.140625" style="2"/>
    <col min="5469" max="5469" width="3.42578125" style="2" customWidth="1"/>
    <col min="5470" max="5470" width="8.140625" style="2" customWidth="1"/>
    <col min="5471" max="5471" width="7.42578125" style="2" customWidth="1"/>
    <col min="5472" max="5473" width="6.85546875" style="2" customWidth="1"/>
    <col min="5474" max="5474" width="6.7109375" style="2" customWidth="1"/>
    <col min="5475" max="5475" width="7" style="2" customWidth="1"/>
    <col min="5476" max="5481" width="7.140625" style="2" customWidth="1"/>
    <col min="5482" max="5486" width="7.42578125" style="2" customWidth="1"/>
    <col min="5487" max="5494" width="7.28515625" style="2" customWidth="1"/>
    <col min="5495" max="5497" width="7.140625" style="2" customWidth="1"/>
    <col min="5498" max="5502" width="7.42578125" style="2" customWidth="1"/>
    <col min="5503" max="5506" width="7.28515625" style="2" customWidth="1"/>
    <col min="5507" max="5510" width="6.85546875" style="2" customWidth="1"/>
    <col min="5511" max="5514" width="7.140625" style="2" customWidth="1"/>
    <col min="5515" max="5515" width="7.5703125" style="2" customWidth="1"/>
    <col min="5516" max="5516" width="6.85546875" style="2" customWidth="1"/>
    <col min="5517" max="5517" width="7.5703125" style="2" customWidth="1"/>
    <col min="5518" max="5519" width="7" style="2" customWidth="1"/>
    <col min="5520" max="5520" width="8.85546875" style="2" customWidth="1"/>
    <col min="5521" max="5521" width="6.85546875" style="2" customWidth="1"/>
    <col min="5522" max="5522" width="9.42578125" style="2" customWidth="1"/>
    <col min="5523" max="5523" width="6.85546875" style="2" customWidth="1"/>
    <col min="5524" max="5524" width="10.7109375" style="2" customWidth="1"/>
    <col min="5525" max="5525" width="7.85546875" style="2" customWidth="1"/>
    <col min="5526" max="5526" width="14.7109375" style="2" customWidth="1"/>
    <col min="5527" max="5724" width="9.140625" style="2"/>
    <col min="5725" max="5725" width="3.42578125" style="2" customWidth="1"/>
    <col min="5726" max="5726" width="8.140625" style="2" customWidth="1"/>
    <col min="5727" max="5727" width="7.42578125" style="2" customWidth="1"/>
    <col min="5728" max="5729" width="6.85546875" style="2" customWidth="1"/>
    <col min="5730" max="5730" width="6.7109375" style="2" customWidth="1"/>
    <col min="5731" max="5731" width="7" style="2" customWidth="1"/>
    <col min="5732" max="5737" width="7.140625" style="2" customWidth="1"/>
    <col min="5738" max="5742" width="7.42578125" style="2" customWidth="1"/>
    <col min="5743" max="5750" width="7.28515625" style="2" customWidth="1"/>
    <col min="5751" max="5753" width="7.140625" style="2" customWidth="1"/>
    <col min="5754" max="5758" width="7.42578125" style="2" customWidth="1"/>
    <col min="5759" max="5762" width="7.28515625" style="2" customWidth="1"/>
    <col min="5763" max="5766" width="6.85546875" style="2" customWidth="1"/>
    <col min="5767" max="5770" width="7.140625" style="2" customWidth="1"/>
    <col min="5771" max="5771" width="7.5703125" style="2" customWidth="1"/>
    <col min="5772" max="5772" width="6.85546875" style="2" customWidth="1"/>
    <col min="5773" max="5773" width="7.5703125" style="2" customWidth="1"/>
    <col min="5774" max="5775" width="7" style="2" customWidth="1"/>
    <col min="5776" max="5776" width="8.85546875" style="2" customWidth="1"/>
    <col min="5777" max="5777" width="6.85546875" style="2" customWidth="1"/>
    <col min="5778" max="5778" width="9.42578125" style="2" customWidth="1"/>
    <col min="5779" max="5779" width="6.85546875" style="2" customWidth="1"/>
    <col min="5780" max="5780" width="10.7109375" style="2" customWidth="1"/>
    <col min="5781" max="5781" width="7.85546875" style="2" customWidth="1"/>
    <col min="5782" max="5782" width="14.7109375" style="2" customWidth="1"/>
    <col min="5783" max="5980" width="9.140625" style="2"/>
    <col min="5981" max="5981" width="3.42578125" style="2" customWidth="1"/>
    <col min="5982" max="5982" width="8.140625" style="2" customWidth="1"/>
    <col min="5983" max="5983" width="7.42578125" style="2" customWidth="1"/>
    <col min="5984" max="5985" width="6.85546875" style="2" customWidth="1"/>
    <col min="5986" max="5986" width="6.7109375" style="2" customWidth="1"/>
    <col min="5987" max="5987" width="7" style="2" customWidth="1"/>
    <col min="5988" max="5993" width="7.140625" style="2" customWidth="1"/>
    <col min="5994" max="5998" width="7.42578125" style="2" customWidth="1"/>
    <col min="5999" max="6006" width="7.28515625" style="2" customWidth="1"/>
    <col min="6007" max="6009" width="7.140625" style="2" customWidth="1"/>
    <col min="6010" max="6014" width="7.42578125" style="2" customWidth="1"/>
    <col min="6015" max="6018" width="7.28515625" style="2" customWidth="1"/>
    <col min="6019" max="6022" width="6.85546875" style="2" customWidth="1"/>
    <col min="6023" max="6026" width="7.140625" style="2" customWidth="1"/>
    <col min="6027" max="6027" width="7.5703125" style="2" customWidth="1"/>
    <col min="6028" max="6028" width="6.85546875" style="2" customWidth="1"/>
    <col min="6029" max="6029" width="7.5703125" style="2" customWidth="1"/>
    <col min="6030" max="6031" width="7" style="2" customWidth="1"/>
    <col min="6032" max="6032" width="8.85546875" style="2" customWidth="1"/>
    <col min="6033" max="6033" width="6.85546875" style="2" customWidth="1"/>
    <col min="6034" max="6034" width="9.42578125" style="2" customWidth="1"/>
    <col min="6035" max="6035" width="6.85546875" style="2" customWidth="1"/>
    <col min="6036" max="6036" width="10.7109375" style="2" customWidth="1"/>
    <col min="6037" max="6037" width="7.85546875" style="2" customWidth="1"/>
    <col min="6038" max="6038" width="14.7109375" style="2" customWidth="1"/>
    <col min="6039" max="6236" width="9.140625" style="2"/>
    <col min="6237" max="6237" width="3.42578125" style="2" customWidth="1"/>
    <col min="6238" max="6238" width="8.140625" style="2" customWidth="1"/>
    <col min="6239" max="6239" width="7.42578125" style="2" customWidth="1"/>
    <col min="6240" max="6241" width="6.85546875" style="2" customWidth="1"/>
    <col min="6242" max="6242" width="6.7109375" style="2" customWidth="1"/>
    <col min="6243" max="6243" width="7" style="2" customWidth="1"/>
    <col min="6244" max="6249" width="7.140625" style="2" customWidth="1"/>
    <col min="6250" max="6254" width="7.42578125" style="2" customWidth="1"/>
    <col min="6255" max="6262" width="7.28515625" style="2" customWidth="1"/>
    <col min="6263" max="6265" width="7.140625" style="2" customWidth="1"/>
    <col min="6266" max="6270" width="7.42578125" style="2" customWidth="1"/>
    <col min="6271" max="6274" width="7.28515625" style="2" customWidth="1"/>
    <col min="6275" max="6278" width="6.85546875" style="2" customWidth="1"/>
    <col min="6279" max="6282" width="7.140625" style="2" customWidth="1"/>
    <col min="6283" max="6283" width="7.5703125" style="2" customWidth="1"/>
    <col min="6284" max="6284" width="6.85546875" style="2" customWidth="1"/>
    <col min="6285" max="6285" width="7.5703125" style="2" customWidth="1"/>
    <col min="6286" max="6287" width="7" style="2" customWidth="1"/>
    <col min="6288" max="6288" width="8.85546875" style="2" customWidth="1"/>
    <col min="6289" max="6289" width="6.85546875" style="2" customWidth="1"/>
    <col min="6290" max="6290" width="9.42578125" style="2" customWidth="1"/>
    <col min="6291" max="6291" width="6.85546875" style="2" customWidth="1"/>
    <col min="6292" max="6292" width="10.7109375" style="2" customWidth="1"/>
    <col min="6293" max="6293" width="7.85546875" style="2" customWidth="1"/>
    <col min="6294" max="6294" width="14.7109375" style="2" customWidth="1"/>
    <col min="6295" max="6492" width="9.140625" style="2"/>
    <col min="6493" max="6493" width="3.42578125" style="2" customWidth="1"/>
    <col min="6494" max="6494" width="8.140625" style="2" customWidth="1"/>
    <col min="6495" max="6495" width="7.42578125" style="2" customWidth="1"/>
    <col min="6496" max="6497" width="6.85546875" style="2" customWidth="1"/>
    <col min="6498" max="6498" width="6.7109375" style="2" customWidth="1"/>
    <col min="6499" max="6499" width="7" style="2" customWidth="1"/>
    <col min="6500" max="6505" width="7.140625" style="2" customWidth="1"/>
    <col min="6506" max="6510" width="7.42578125" style="2" customWidth="1"/>
    <col min="6511" max="6518" width="7.28515625" style="2" customWidth="1"/>
    <col min="6519" max="6521" width="7.140625" style="2" customWidth="1"/>
    <col min="6522" max="6526" width="7.42578125" style="2" customWidth="1"/>
    <col min="6527" max="6530" width="7.28515625" style="2" customWidth="1"/>
    <col min="6531" max="6534" width="6.85546875" style="2" customWidth="1"/>
    <col min="6535" max="6538" width="7.140625" style="2" customWidth="1"/>
    <col min="6539" max="6539" width="7.5703125" style="2" customWidth="1"/>
    <col min="6540" max="6540" width="6.85546875" style="2" customWidth="1"/>
    <col min="6541" max="6541" width="7.5703125" style="2" customWidth="1"/>
    <col min="6542" max="6543" width="7" style="2" customWidth="1"/>
    <col min="6544" max="6544" width="8.85546875" style="2" customWidth="1"/>
    <col min="6545" max="6545" width="6.85546875" style="2" customWidth="1"/>
    <col min="6546" max="6546" width="9.42578125" style="2" customWidth="1"/>
    <col min="6547" max="6547" width="6.85546875" style="2" customWidth="1"/>
    <col min="6548" max="6548" width="10.7109375" style="2" customWidth="1"/>
    <col min="6549" max="6549" width="7.85546875" style="2" customWidth="1"/>
    <col min="6550" max="6550" width="14.7109375" style="2" customWidth="1"/>
    <col min="6551" max="6748" width="9.140625" style="2"/>
    <col min="6749" max="6749" width="3.42578125" style="2" customWidth="1"/>
    <col min="6750" max="6750" width="8.140625" style="2" customWidth="1"/>
    <col min="6751" max="6751" width="7.42578125" style="2" customWidth="1"/>
    <col min="6752" max="6753" width="6.85546875" style="2" customWidth="1"/>
    <col min="6754" max="6754" width="6.7109375" style="2" customWidth="1"/>
    <col min="6755" max="6755" width="7" style="2" customWidth="1"/>
    <col min="6756" max="6761" width="7.140625" style="2" customWidth="1"/>
    <col min="6762" max="6766" width="7.42578125" style="2" customWidth="1"/>
    <col min="6767" max="6774" width="7.28515625" style="2" customWidth="1"/>
    <col min="6775" max="6777" width="7.140625" style="2" customWidth="1"/>
    <col min="6778" max="6782" width="7.42578125" style="2" customWidth="1"/>
    <col min="6783" max="6786" width="7.28515625" style="2" customWidth="1"/>
    <col min="6787" max="6790" width="6.85546875" style="2" customWidth="1"/>
    <col min="6791" max="6794" width="7.140625" style="2" customWidth="1"/>
    <col min="6795" max="6795" width="7.5703125" style="2" customWidth="1"/>
    <col min="6796" max="6796" width="6.85546875" style="2" customWidth="1"/>
    <col min="6797" max="6797" width="7.5703125" style="2" customWidth="1"/>
    <col min="6798" max="6799" width="7" style="2" customWidth="1"/>
    <col min="6800" max="6800" width="8.85546875" style="2" customWidth="1"/>
    <col min="6801" max="6801" width="6.85546875" style="2" customWidth="1"/>
    <col min="6802" max="6802" width="9.42578125" style="2" customWidth="1"/>
    <col min="6803" max="6803" width="6.85546875" style="2" customWidth="1"/>
    <col min="6804" max="6804" width="10.7109375" style="2" customWidth="1"/>
    <col min="6805" max="6805" width="7.85546875" style="2" customWidth="1"/>
    <col min="6806" max="6806" width="14.7109375" style="2" customWidth="1"/>
    <col min="6807" max="7004" width="9.140625" style="2"/>
    <col min="7005" max="7005" width="3.42578125" style="2" customWidth="1"/>
    <col min="7006" max="7006" width="8.140625" style="2" customWidth="1"/>
    <col min="7007" max="7007" width="7.42578125" style="2" customWidth="1"/>
    <col min="7008" max="7009" width="6.85546875" style="2" customWidth="1"/>
    <col min="7010" max="7010" width="6.7109375" style="2" customWidth="1"/>
    <col min="7011" max="7011" width="7" style="2" customWidth="1"/>
    <col min="7012" max="7017" width="7.140625" style="2" customWidth="1"/>
    <col min="7018" max="7022" width="7.42578125" style="2" customWidth="1"/>
    <col min="7023" max="7030" width="7.28515625" style="2" customWidth="1"/>
    <col min="7031" max="7033" width="7.140625" style="2" customWidth="1"/>
    <col min="7034" max="7038" width="7.42578125" style="2" customWidth="1"/>
    <col min="7039" max="7042" width="7.28515625" style="2" customWidth="1"/>
    <col min="7043" max="7046" width="6.85546875" style="2" customWidth="1"/>
    <col min="7047" max="7050" width="7.140625" style="2" customWidth="1"/>
    <col min="7051" max="7051" width="7.5703125" style="2" customWidth="1"/>
    <col min="7052" max="7052" width="6.85546875" style="2" customWidth="1"/>
    <col min="7053" max="7053" width="7.5703125" style="2" customWidth="1"/>
    <col min="7054" max="7055" width="7" style="2" customWidth="1"/>
    <col min="7056" max="7056" width="8.85546875" style="2" customWidth="1"/>
    <col min="7057" max="7057" width="6.85546875" style="2" customWidth="1"/>
    <col min="7058" max="7058" width="9.42578125" style="2" customWidth="1"/>
    <col min="7059" max="7059" width="6.85546875" style="2" customWidth="1"/>
    <col min="7060" max="7060" width="10.7109375" style="2" customWidth="1"/>
    <col min="7061" max="7061" width="7.85546875" style="2" customWidth="1"/>
    <col min="7062" max="7062" width="14.7109375" style="2" customWidth="1"/>
    <col min="7063" max="7260" width="9.140625" style="2"/>
    <col min="7261" max="7261" width="3.42578125" style="2" customWidth="1"/>
    <col min="7262" max="7262" width="8.140625" style="2" customWidth="1"/>
    <col min="7263" max="7263" width="7.42578125" style="2" customWidth="1"/>
    <col min="7264" max="7265" width="6.85546875" style="2" customWidth="1"/>
    <col min="7266" max="7266" width="6.7109375" style="2" customWidth="1"/>
    <col min="7267" max="7267" width="7" style="2" customWidth="1"/>
    <col min="7268" max="7273" width="7.140625" style="2" customWidth="1"/>
    <col min="7274" max="7278" width="7.42578125" style="2" customWidth="1"/>
    <col min="7279" max="7286" width="7.28515625" style="2" customWidth="1"/>
    <col min="7287" max="7289" width="7.140625" style="2" customWidth="1"/>
    <col min="7290" max="7294" width="7.42578125" style="2" customWidth="1"/>
    <col min="7295" max="7298" width="7.28515625" style="2" customWidth="1"/>
    <col min="7299" max="7302" width="6.85546875" style="2" customWidth="1"/>
    <col min="7303" max="7306" width="7.140625" style="2" customWidth="1"/>
    <col min="7307" max="7307" width="7.5703125" style="2" customWidth="1"/>
    <col min="7308" max="7308" width="6.85546875" style="2" customWidth="1"/>
    <col min="7309" max="7309" width="7.5703125" style="2" customWidth="1"/>
    <col min="7310" max="7311" width="7" style="2" customWidth="1"/>
    <col min="7312" max="7312" width="8.85546875" style="2" customWidth="1"/>
    <col min="7313" max="7313" width="6.85546875" style="2" customWidth="1"/>
    <col min="7314" max="7314" width="9.42578125" style="2" customWidth="1"/>
    <col min="7315" max="7315" width="6.85546875" style="2" customWidth="1"/>
    <col min="7316" max="7316" width="10.7109375" style="2" customWidth="1"/>
    <col min="7317" max="7317" width="7.85546875" style="2" customWidth="1"/>
    <col min="7318" max="7318" width="14.7109375" style="2" customWidth="1"/>
    <col min="7319" max="7516" width="9.140625" style="2"/>
    <col min="7517" max="7517" width="3.42578125" style="2" customWidth="1"/>
    <col min="7518" max="7518" width="8.140625" style="2" customWidth="1"/>
    <col min="7519" max="7519" width="7.42578125" style="2" customWidth="1"/>
    <col min="7520" max="7521" width="6.85546875" style="2" customWidth="1"/>
    <col min="7522" max="7522" width="6.7109375" style="2" customWidth="1"/>
    <col min="7523" max="7523" width="7" style="2" customWidth="1"/>
    <col min="7524" max="7529" width="7.140625" style="2" customWidth="1"/>
    <col min="7530" max="7534" width="7.42578125" style="2" customWidth="1"/>
    <col min="7535" max="7542" width="7.28515625" style="2" customWidth="1"/>
    <col min="7543" max="7545" width="7.140625" style="2" customWidth="1"/>
    <col min="7546" max="7550" width="7.42578125" style="2" customWidth="1"/>
    <col min="7551" max="7554" width="7.28515625" style="2" customWidth="1"/>
    <col min="7555" max="7558" width="6.85546875" style="2" customWidth="1"/>
    <col min="7559" max="7562" width="7.140625" style="2" customWidth="1"/>
    <col min="7563" max="7563" width="7.5703125" style="2" customWidth="1"/>
    <col min="7564" max="7564" width="6.85546875" style="2" customWidth="1"/>
    <col min="7565" max="7565" width="7.5703125" style="2" customWidth="1"/>
    <col min="7566" max="7567" width="7" style="2" customWidth="1"/>
    <col min="7568" max="7568" width="8.85546875" style="2" customWidth="1"/>
    <col min="7569" max="7569" width="6.85546875" style="2" customWidth="1"/>
    <col min="7570" max="7570" width="9.42578125" style="2" customWidth="1"/>
    <col min="7571" max="7571" width="6.85546875" style="2" customWidth="1"/>
    <col min="7572" max="7572" width="10.7109375" style="2" customWidth="1"/>
    <col min="7573" max="7573" width="7.85546875" style="2" customWidth="1"/>
    <col min="7574" max="7574" width="14.7109375" style="2" customWidth="1"/>
    <col min="7575" max="7772" width="9.140625" style="2"/>
    <col min="7773" max="7773" width="3.42578125" style="2" customWidth="1"/>
    <col min="7774" max="7774" width="8.140625" style="2" customWidth="1"/>
    <col min="7775" max="7775" width="7.42578125" style="2" customWidth="1"/>
    <col min="7776" max="7777" width="6.85546875" style="2" customWidth="1"/>
    <col min="7778" max="7778" width="6.7109375" style="2" customWidth="1"/>
    <col min="7779" max="7779" width="7" style="2" customWidth="1"/>
    <col min="7780" max="7785" width="7.140625" style="2" customWidth="1"/>
    <col min="7786" max="7790" width="7.42578125" style="2" customWidth="1"/>
    <col min="7791" max="7798" width="7.28515625" style="2" customWidth="1"/>
    <col min="7799" max="7801" width="7.140625" style="2" customWidth="1"/>
    <col min="7802" max="7806" width="7.42578125" style="2" customWidth="1"/>
    <col min="7807" max="7810" width="7.28515625" style="2" customWidth="1"/>
    <col min="7811" max="7814" width="6.85546875" style="2" customWidth="1"/>
    <col min="7815" max="7818" width="7.140625" style="2" customWidth="1"/>
    <col min="7819" max="7819" width="7.5703125" style="2" customWidth="1"/>
    <col min="7820" max="7820" width="6.85546875" style="2" customWidth="1"/>
    <col min="7821" max="7821" width="7.5703125" style="2" customWidth="1"/>
    <col min="7822" max="7823" width="7" style="2" customWidth="1"/>
    <col min="7824" max="7824" width="8.85546875" style="2" customWidth="1"/>
    <col min="7825" max="7825" width="6.85546875" style="2" customWidth="1"/>
    <col min="7826" max="7826" width="9.42578125" style="2" customWidth="1"/>
    <col min="7827" max="7827" width="6.85546875" style="2" customWidth="1"/>
    <col min="7828" max="7828" width="10.7109375" style="2" customWidth="1"/>
    <col min="7829" max="7829" width="7.85546875" style="2" customWidth="1"/>
    <col min="7830" max="7830" width="14.7109375" style="2" customWidth="1"/>
    <col min="7831" max="8028" width="9.140625" style="2"/>
    <col min="8029" max="8029" width="3.42578125" style="2" customWidth="1"/>
    <col min="8030" max="8030" width="8.140625" style="2" customWidth="1"/>
    <col min="8031" max="8031" width="7.42578125" style="2" customWidth="1"/>
    <col min="8032" max="8033" width="6.85546875" style="2" customWidth="1"/>
    <col min="8034" max="8034" width="6.7109375" style="2" customWidth="1"/>
    <col min="8035" max="8035" width="7" style="2" customWidth="1"/>
    <col min="8036" max="8041" width="7.140625" style="2" customWidth="1"/>
    <col min="8042" max="8046" width="7.42578125" style="2" customWidth="1"/>
    <col min="8047" max="8054" width="7.28515625" style="2" customWidth="1"/>
    <col min="8055" max="8057" width="7.140625" style="2" customWidth="1"/>
    <col min="8058" max="8062" width="7.42578125" style="2" customWidth="1"/>
    <col min="8063" max="8066" width="7.28515625" style="2" customWidth="1"/>
    <col min="8067" max="8070" width="6.85546875" style="2" customWidth="1"/>
    <col min="8071" max="8074" width="7.140625" style="2" customWidth="1"/>
    <col min="8075" max="8075" width="7.5703125" style="2" customWidth="1"/>
    <col min="8076" max="8076" width="6.85546875" style="2" customWidth="1"/>
    <col min="8077" max="8077" width="7.5703125" style="2" customWidth="1"/>
    <col min="8078" max="8079" width="7" style="2" customWidth="1"/>
    <col min="8080" max="8080" width="8.85546875" style="2" customWidth="1"/>
    <col min="8081" max="8081" width="6.85546875" style="2" customWidth="1"/>
    <col min="8082" max="8082" width="9.42578125" style="2" customWidth="1"/>
    <col min="8083" max="8083" width="6.85546875" style="2" customWidth="1"/>
    <col min="8084" max="8084" width="10.7109375" style="2" customWidth="1"/>
    <col min="8085" max="8085" width="7.85546875" style="2" customWidth="1"/>
    <col min="8086" max="8086" width="14.7109375" style="2" customWidth="1"/>
    <col min="8087" max="8284" width="9.140625" style="2"/>
    <col min="8285" max="8285" width="3.42578125" style="2" customWidth="1"/>
    <col min="8286" max="8286" width="8.140625" style="2" customWidth="1"/>
    <col min="8287" max="8287" width="7.42578125" style="2" customWidth="1"/>
    <col min="8288" max="8289" width="6.85546875" style="2" customWidth="1"/>
    <col min="8290" max="8290" width="6.7109375" style="2" customWidth="1"/>
    <col min="8291" max="8291" width="7" style="2" customWidth="1"/>
    <col min="8292" max="8297" width="7.140625" style="2" customWidth="1"/>
    <col min="8298" max="8302" width="7.42578125" style="2" customWidth="1"/>
    <col min="8303" max="8310" width="7.28515625" style="2" customWidth="1"/>
    <col min="8311" max="8313" width="7.140625" style="2" customWidth="1"/>
    <col min="8314" max="8318" width="7.42578125" style="2" customWidth="1"/>
    <col min="8319" max="8322" width="7.28515625" style="2" customWidth="1"/>
    <col min="8323" max="8326" width="6.85546875" style="2" customWidth="1"/>
    <col min="8327" max="8330" width="7.140625" style="2" customWidth="1"/>
    <col min="8331" max="8331" width="7.5703125" style="2" customWidth="1"/>
    <col min="8332" max="8332" width="6.85546875" style="2" customWidth="1"/>
    <col min="8333" max="8333" width="7.5703125" style="2" customWidth="1"/>
    <col min="8334" max="8335" width="7" style="2" customWidth="1"/>
    <col min="8336" max="8336" width="8.85546875" style="2" customWidth="1"/>
    <col min="8337" max="8337" width="6.85546875" style="2" customWidth="1"/>
    <col min="8338" max="8338" width="9.42578125" style="2" customWidth="1"/>
    <col min="8339" max="8339" width="6.85546875" style="2" customWidth="1"/>
    <col min="8340" max="8340" width="10.7109375" style="2" customWidth="1"/>
    <col min="8341" max="8341" width="7.85546875" style="2" customWidth="1"/>
    <col min="8342" max="8342" width="14.7109375" style="2" customWidth="1"/>
    <col min="8343" max="8540" width="9.140625" style="2"/>
    <col min="8541" max="8541" width="3.42578125" style="2" customWidth="1"/>
    <col min="8542" max="8542" width="8.140625" style="2" customWidth="1"/>
    <col min="8543" max="8543" width="7.42578125" style="2" customWidth="1"/>
    <col min="8544" max="8545" width="6.85546875" style="2" customWidth="1"/>
    <col min="8546" max="8546" width="6.7109375" style="2" customWidth="1"/>
    <col min="8547" max="8547" width="7" style="2" customWidth="1"/>
    <col min="8548" max="8553" width="7.140625" style="2" customWidth="1"/>
    <col min="8554" max="8558" width="7.42578125" style="2" customWidth="1"/>
    <col min="8559" max="8566" width="7.28515625" style="2" customWidth="1"/>
    <col min="8567" max="8569" width="7.140625" style="2" customWidth="1"/>
    <col min="8570" max="8574" width="7.42578125" style="2" customWidth="1"/>
    <col min="8575" max="8578" width="7.28515625" style="2" customWidth="1"/>
    <col min="8579" max="8582" width="6.85546875" style="2" customWidth="1"/>
    <col min="8583" max="8586" width="7.140625" style="2" customWidth="1"/>
    <col min="8587" max="8587" width="7.5703125" style="2" customWidth="1"/>
    <col min="8588" max="8588" width="6.85546875" style="2" customWidth="1"/>
    <col min="8589" max="8589" width="7.5703125" style="2" customWidth="1"/>
    <col min="8590" max="8591" width="7" style="2" customWidth="1"/>
    <col min="8592" max="8592" width="8.85546875" style="2" customWidth="1"/>
    <col min="8593" max="8593" width="6.85546875" style="2" customWidth="1"/>
    <col min="8594" max="8594" width="9.42578125" style="2" customWidth="1"/>
    <col min="8595" max="8595" width="6.85546875" style="2" customWidth="1"/>
    <col min="8596" max="8596" width="10.7109375" style="2" customWidth="1"/>
    <col min="8597" max="8597" width="7.85546875" style="2" customWidth="1"/>
    <col min="8598" max="8598" width="14.7109375" style="2" customWidth="1"/>
    <col min="8599" max="8796" width="9.140625" style="2"/>
    <col min="8797" max="8797" width="3.42578125" style="2" customWidth="1"/>
    <col min="8798" max="8798" width="8.140625" style="2" customWidth="1"/>
    <col min="8799" max="8799" width="7.42578125" style="2" customWidth="1"/>
    <col min="8800" max="8801" width="6.85546875" style="2" customWidth="1"/>
    <col min="8802" max="8802" width="6.7109375" style="2" customWidth="1"/>
    <col min="8803" max="8803" width="7" style="2" customWidth="1"/>
    <col min="8804" max="8809" width="7.140625" style="2" customWidth="1"/>
    <col min="8810" max="8814" width="7.42578125" style="2" customWidth="1"/>
    <col min="8815" max="8822" width="7.28515625" style="2" customWidth="1"/>
    <col min="8823" max="8825" width="7.140625" style="2" customWidth="1"/>
    <col min="8826" max="8830" width="7.42578125" style="2" customWidth="1"/>
    <col min="8831" max="8834" width="7.28515625" style="2" customWidth="1"/>
    <col min="8835" max="8838" width="6.85546875" style="2" customWidth="1"/>
    <col min="8839" max="8842" width="7.140625" style="2" customWidth="1"/>
    <col min="8843" max="8843" width="7.5703125" style="2" customWidth="1"/>
    <col min="8844" max="8844" width="6.85546875" style="2" customWidth="1"/>
    <col min="8845" max="8845" width="7.5703125" style="2" customWidth="1"/>
    <col min="8846" max="8847" width="7" style="2" customWidth="1"/>
    <col min="8848" max="8848" width="8.85546875" style="2" customWidth="1"/>
    <col min="8849" max="8849" width="6.85546875" style="2" customWidth="1"/>
    <col min="8850" max="8850" width="9.42578125" style="2" customWidth="1"/>
    <col min="8851" max="8851" width="6.85546875" style="2" customWidth="1"/>
    <col min="8852" max="8852" width="10.7109375" style="2" customWidth="1"/>
    <col min="8853" max="8853" width="7.85546875" style="2" customWidth="1"/>
    <col min="8854" max="8854" width="14.7109375" style="2" customWidth="1"/>
    <col min="8855" max="9052" width="9.140625" style="2"/>
    <col min="9053" max="9053" width="3.42578125" style="2" customWidth="1"/>
    <col min="9054" max="9054" width="8.140625" style="2" customWidth="1"/>
    <col min="9055" max="9055" width="7.42578125" style="2" customWidth="1"/>
    <col min="9056" max="9057" width="6.85546875" style="2" customWidth="1"/>
    <col min="9058" max="9058" width="6.7109375" style="2" customWidth="1"/>
    <col min="9059" max="9059" width="7" style="2" customWidth="1"/>
    <col min="9060" max="9065" width="7.140625" style="2" customWidth="1"/>
    <col min="9066" max="9070" width="7.42578125" style="2" customWidth="1"/>
    <col min="9071" max="9078" width="7.28515625" style="2" customWidth="1"/>
    <col min="9079" max="9081" width="7.140625" style="2" customWidth="1"/>
    <col min="9082" max="9086" width="7.42578125" style="2" customWidth="1"/>
    <col min="9087" max="9090" width="7.28515625" style="2" customWidth="1"/>
    <col min="9091" max="9094" width="6.85546875" style="2" customWidth="1"/>
    <col min="9095" max="9098" width="7.140625" style="2" customWidth="1"/>
    <col min="9099" max="9099" width="7.5703125" style="2" customWidth="1"/>
    <col min="9100" max="9100" width="6.85546875" style="2" customWidth="1"/>
    <col min="9101" max="9101" width="7.5703125" style="2" customWidth="1"/>
    <col min="9102" max="9103" width="7" style="2" customWidth="1"/>
    <col min="9104" max="9104" width="8.85546875" style="2" customWidth="1"/>
    <col min="9105" max="9105" width="6.85546875" style="2" customWidth="1"/>
    <col min="9106" max="9106" width="9.42578125" style="2" customWidth="1"/>
    <col min="9107" max="9107" width="6.85546875" style="2" customWidth="1"/>
    <col min="9108" max="9108" width="10.7109375" style="2" customWidth="1"/>
    <col min="9109" max="9109" width="7.85546875" style="2" customWidth="1"/>
    <col min="9110" max="9110" width="14.7109375" style="2" customWidth="1"/>
    <col min="9111" max="9308" width="9.140625" style="2"/>
    <col min="9309" max="9309" width="3.42578125" style="2" customWidth="1"/>
    <col min="9310" max="9310" width="8.140625" style="2" customWidth="1"/>
    <col min="9311" max="9311" width="7.42578125" style="2" customWidth="1"/>
    <col min="9312" max="9313" width="6.85546875" style="2" customWidth="1"/>
    <col min="9314" max="9314" width="6.7109375" style="2" customWidth="1"/>
    <col min="9315" max="9315" width="7" style="2" customWidth="1"/>
    <col min="9316" max="9321" width="7.140625" style="2" customWidth="1"/>
    <col min="9322" max="9326" width="7.42578125" style="2" customWidth="1"/>
    <col min="9327" max="9334" width="7.28515625" style="2" customWidth="1"/>
    <col min="9335" max="9337" width="7.140625" style="2" customWidth="1"/>
    <col min="9338" max="9342" width="7.42578125" style="2" customWidth="1"/>
    <col min="9343" max="9346" width="7.28515625" style="2" customWidth="1"/>
    <col min="9347" max="9350" width="6.85546875" style="2" customWidth="1"/>
    <col min="9351" max="9354" width="7.140625" style="2" customWidth="1"/>
    <col min="9355" max="9355" width="7.5703125" style="2" customWidth="1"/>
    <col min="9356" max="9356" width="6.85546875" style="2" customWidth="1"/>
    <col min="9357" max="9357" width="7.5703125" style="2" customWidth="1"/>
    <col min="9358" max="9359" width="7" style="2" customWidth="1"/>
    <col min="9360" max="9360" width="8.85546875" style="2" customWidth="1"/>
    <col min="9361" max="9361" width="6.85546875" style="2" customWidth="1"/>
    <col min="9362" max="9362" width="9.42578125" style="2" customWidth="1"/>
    <col min="9363" max="9363" width="6.85546875" style="2" customWidth="1"/>
    <col min="9364" max="9364" width="10.7109375" style="2" customWidth="1"/>
    <col min="9365" max="9365" width="7.85546875" style="2" customWidth="1"/>
    <col min="9366" max="9366" width="14.7109375" style="2" customWidth="1"/>
    <col min="9367" max="9564" width="9.140625" style="2"/>
    <col min="9565" max="9565" width="3.42578125" style="2" customWidth="1"/>
    <col min="9566" max="9566" width="8.140625" style="2" customWidth="1"/>
    <col min="9567" max="9567" width="7.42578125" style="2" customWidth="1"/>
    <col min="9568" max="9569" width="6.85546875" style="2" customWidth="1"/>
    <col min="9570" max="9570" width="6.7109375" style="2" customWidth="1"/>
    <col min="9571" max="9571" width="7" style="2" customWidth="1"/>
    <col min="9572" max="9577" width="7.140625" style="2" customWidth="1"/>
    <col min="9578" max="9582" width="7.42578125" style="2" customWidth="1"/>
    <col min="9583" max="9590" width="7.28515625" style="2" customWidth="1"/>
    <col min="9591" max="9593" width="7.140625" style="2" customWidth="1"/>
    <col min="9594" max="9598" width="7.42578125" style="2" customWidth="1"/>
    <col min="9599" max="9602" width="7.28515625" style="2" customWidth="1"/>
    <col min="9603" max="9606" width="6.85546875" style="2" customWidth="1"/>
    <col min="9607" max="9610" width="7.140625" style="2" customWidth="1"/>
    <col min="9611" max="9611" width="7.5703125" style="2" customWidth="1"/>
    <col min="9612" max="9612" width="6.85546875" style="2" customWidth="1"/>
    <col min="9613" max="9613" width="7.5703125" style="2" customWidth="1"/>
    <col min="9614" max="9615" width="7" style="2" customWidth="1"/>
    <col min="9616" max="9616" width="8.85546875" style="2" customWidth="1"/>
    <col min="9617" max="9617" width="6.85546875" style="2" customWidth="1"/>
    <col min="9618" max="9618" width="9.42578125" style="2" customWidth="1"/>
    <col min="9619" max="9619" width="6.85546875" style="2" customWidth="1"/>
    <col min="9620" max="9620" width="10.7109375" style="2" customWidth="1"/>
    <col min="9621" max="9621" width="7.85546875" style="2" customWidth="1"/>
    <col min="9622" max="9622" width="14.7109375" style="2" customWidth="1"/>
    <col min="9623" max="9820" width="9.140625" style="2"/>
    <col min="9821" max="9821" width="3.42578125" style="2" customWidth="1"/>
    <col min="9822" max="9822" width="8.140625" style="2" customWidth="1"/>
    <col min="9823" max="9823" width="7.42578125" style="2" customWidth="1"/>
    <col min="9824" max="9825" width="6.85546875" style="2" customWidth="1"/>
    <col min="9826" max="9826" width="6.7109375" style="2" customWidth="1"/>
    <col min="9827" max="9827" width="7" style="2" customWidth="1"/>
    <col min="9828" max="9833" width="7.140625" style="2" customWidth="1"/>
    <col min="9834" max="9838" width="7.42578125" style="2" customWidth="1"/>
    <col min="9839" max="9846" width="7.28515625" style="2" customWidth="1"/>
    <col min="9847" max="9849" width="7.140625" style="2" customWidth="1"/>
    <col min="9850" max="9854" width="7.42578125" style="2" customWidth="1"/>
    <col min="9855" max="9858" width="7.28515625" style="2" customWidth="1"/>
    <col min="9859" max="9862" width="6.85546875" style="2" customWidth="1"/>
    <col min="9863" max="9866" width="7.140625" style="2" customWidth="1"/>
    <col min="9867" max="9867" width="7.5703125" style="2" customWidth="1"/>
    <col min="9868" max="9868" width="6.85546875" style="2" customWidth="1"/>
    <col min="9869" max="9869" width="7.5703125" style="2" customWidth="1"/>
    <col min="9870" max="9871" width="7" style="2" customWidth="1"/>
    <col min="9872" max="9872" width="8.85546875" style="2" customWidth="1"/>
    <col min="9873" max="9873" width="6.85546875" style="2" customWidth="1"/>
    <col min="9874" max="9874" width="9.42578125" style="2" customWidth="1"/>
    <col min="9875" max="9875" width="6.85546875" style="2" customWidth="1"/>
    <col min="9876" max="9876" width="10.7109375" style="2" customWidth="1"/>
    <col min="9877" max="9877" width="7.85546875" style="2" customWidth="1"/>
    <col min="9878" max="9878" width="14.7109375" style="2" customWidth="1"/>
    <col min="9879" max="10076" width="9.140625" style="2"/>
    <col min="10077" max="10077" width="3.42578125" style="2" customWidth="1"/>
    <col min="10078" max="10078" width="8.140625" style="2" customWidth="1"/>
    <col min="10079" max="10079" width="7.42578125" style="2" customWidth="1"/>
    <col min="10080" max="10081" width="6.85546875" style="2" customWidth="1"/>
    <col min="10082" max="10082" width="6.7109375" style="2" customWidth="1"/>
    <col min="10083" max="10083" width="7" style="2" customWidth="1"/>
    <col min="10084" max="10089" width="7.140625" style="2" customWidth="1"/>
    <col min="10090" max="10094" width="7.42578125" style="2" customWidth="1"/>
    <col min="10095" max="10102" width="7.28515625" style="2" customWidth="1"/>
    <col min="10103" max="10105" width="7.140625" style="2" customWidth="1"/>
    <col min="10106" max="10110" width="7.42578125" style="2" customWidth="1"/>
    <col min="10111" max="10114" width="7.28515625" style="2" customWidth="1"/>
    <col min="10115" max="10118" width="6.85546875" style="2" customWidth="1"/>
    <col min="10119" max="10122" width="7.140625" style="2" customWidth="1"/>
    <col min="10123" max="10123" width="7.5703125" style="2" customWidth="1"/>
    <col min="10124" max="10124" width="6.85546875" style="2" customWidth="1"/>
    <col min="10125" max="10125" width="7.5703125" style="2" customWidth="1"/>
    <col min="10126" max="10127" width="7" style="2" customWidth="1"/>
    <col min="10128" max="10128" width="8.85546875" style="2" customWidth="1"/>
    <col min="10129" max="10129" width="6.85546875" style="2" customWidth="1"/>
    <col min="10130" max="10130" width="9.42578125" style="2" customWidth="1"/>
    <col min="10131" max="10131" width="6.85546875" style="2" customWidth="1"/>
    <col min="10132" max="10132" width="10.7109375" style="2" customWidth="1"/>
    <col min="10133" max="10133" width="7.85546875" style="2" customWidth="1"/>
    <col min="10134" max="10134" width="14.7109375" style="2" customWidth="1"/>
    <col min="10135" max="10332" width="9.140625" style="2"/>
    <col min="10333" max="10333" width="3.42578125" style="2" customWidth="1"/>
    <col min="10334" max="10334" width="8.140625" style="2" customWidth="1"/>
    <col min="10335" max="10335" width="7.42578125" style="2" customWidth="1"/>
    <col min="10336" max="10337" width="6.85546875" style="2" customWidth="1"/>
    <col min="10338" max="10338" width="6.7109375" style="2" customWidth="1"/>
    <col min="10339" max="10339" width="7" style="2" customWidth="1"/>
    <col min="10340" max="10345" width="7.140625" style="2" customWidth="1"/>
    <col min="10346" max="10350" width="7.42578125" style="2" customWidth="1"/>
    <col min="10351" max="10358" width="7.28515625" style="2" customWidth="1"/>
    <col min="10359" max="10361" width="7.140625" style="2" customWidth="1"/>
    <col min="10362" max="10366" width="7.42578125" style="2" customWidth="1"/>
    <col min="10367" max="10370" width="7.28515625" style="2" customWidth="1"/>
    <col min="10371" max="10374" width="6.85546875" style="2" customWidth="1"/>
    <col min="10375" max="10378" width="7.140625" style="2" customWidth="1"/>
    <col min="10379" max="10379" width="7.5703125" style="2" customWidth="1"/>
    <col min="10380" max="10380" width="6.85546875" style="2" customWidth="1"/>
    <col min="10381" max="10381" width="7.5703125" style="2" customWidth="1"/>
    <col min="10382" max="10383" width="7" style="2" customWidth="1"/>
    <col min="10384" max="10384" width="8.85546875" style="2" customWidth="1"/>
    <col min="10385" max="10385" width="6.85546875" style="2" customWidth="1"/>
    <col min="10386" max="10386" width="9.42578125" style="2" customWidth="1"/>
    <col min="10387" max="10387" width="6.85546875" style="2" customWidth="1"/>
    <col min="10388" max="10388" width="10.7109375" style="2" customWidth="1"/>
    <col min="10389" max="10389" width="7.85546875" style="2" customWidth="1"/>
    <col min="10390" max="10390" width="14.7109375" style="2" customWidth="1"/>
    <col min="10391" max="10588" width="9.140625" style="2"/>
    <col min="10589" max="10589" width="3.42578125" style="2" customWidth="1"/>
    <col min="10590" max="10590" width="8.140625" style="2" customWidth="1"/>
    <col min="10591" max="10591" width="7.42578125" style="2" customWidth="1"/>
    <col min="10592" max="10593" width="6.85546875" style="2" customWidth="1"/>
    <col min="10594" max="10594" width="6.7109375" style="2" customWidth="1"/>
    <col min="10595" max="10595" width="7" style="2" customWidth="1"/>
    <col min="10596" max="10601" width="7.140625" style="2" customWidth="1"/>
    <col min="10602" max="10606" width="7.42578125" style="2" customWidth="1"/>
    <col min="10607" max="10614" width="7.28515625" style="2" customWidth="1"/>
    <col min="10615" max="10617" width="7.140625" style="2" customWidth="1"/>
    <col min="10618" max="10622" width="7.42578125" style="2" customWidth="1"/>
    <col min="10623" max="10626" width="7.28515625" style="2" customWidth="1"/>
    <col min="10627" max="10630" width="6.85546875" style="2" customWidth="1"/>
    <col min="10631" max="10634" width="7.140625" style="2" customWidth="1"/>
    <col min="10635" max="10635" width="7.5703125" style="2" customWidth="1"/>
    <col min="10636" max="10636" width="6.85546875" style="2" customWidth="1"/>
    <col min="10637" max="10637" width="7.5703125" style="2" customWidth="1"/>
    <col min="10638" max="10639" width="7" style="2" customWidth="1"/>
    <col min="10640" max="10640" width="8.85546875" style="2" customWidth="1"/>
    <col min="10641" max="10641" width="6.85546875" style="2" customWidth="1"/>
    <col min="10642" max="10642" width="9.42578125" style="2" customWidth="1"/>
    <col min="10643" max="10643" width="6.85546875" style="2" customWidth="1"/>
    <col min="10644" max="10644" width="10.7109375" style="2" customWidth="1"/>
    <col min="10645" max="10645" width="7.85546875" style="2" customWidth="1"/>
    <col min="10646" max="10646" width="14.7109375" style="2" customWidth="1"/>
    <col min="10647" max="10844" width="9.140625" style="2"/>
    <col min="10845" max="10845" width="3.42578125" style="2" customWidth="1"/>
    <col min="10846" max="10846" width="8.140625" style="2" customWidth="1"/>
    <col min="10847" max="10847" width="7.42578125" style="2" customWidth="1"/>
    <col min="10848" max="10849" width="6.85546875" style="2" customWidth="1"/>
    <col min="10850" max="10850" width="6.7109375" style="2" customWidth="1"/>
    <col min="10851" max="10851" width="7" style="2" customWidth="1"/>
    <col min="10852" max="10857" width="7.140625" style="2" customWidth="1"/>
    <col min="10858" max="10862" width="7.42578125" style="2" customWidth="1"/>
    <col min="10863" max="10870" width="7.28515625" style="2" customWidth="1"/>
    <col min="10871" max="10873" width="7.140625" style="2" customWidth="1"/>
    <col min="10874" max="10878" width="7.42578125" style="2" customWidth="1"/>
    <col min="10879" max="10882" width="7.28515625" style="2" customWidth="1"/>
    <col min="10883" max="10886" width="6.85546875" style="2" customWidth="1"/>
    <col min="10887" max="10890" width="7.140625" style="2" customWidth="1"/>
    <col min="10891" max="10891" width="7.5703125" style="2" customWidth="1"/>
    <col min="10892" max="10892" width="6.85546875" style="2" customWidth="1"/>
    <col min="10893" max="10893" width="7.5703125" style="2" customWidth="1"/>
    <col min="10894" max="10895" width="7" style="2" customWidth="1"/>
    <col min="10896" max="10896" width="8.85546875" style="2" customWidth="1"/>
    <col min="10897" max="10897" width="6.85546875" style="2" customWidth="1"/>
    <col min="10898" max="10898" width="9.42578125" style="2" customWidth="1"/>
    <col min="10899" max="10899" width="6.85546875" style="2" customWidth="1"/>
    <col min="10900" max="10900" width="10.7109375" style="2" customWidth="1"/>
    <col min="10901" max="10901" width="7.85546875" style="2" customWidth="1"/>
    <col min="10902" max="10902" width="14.7109375" style="2" customWidth="1"/>
    <col min="10903" max="11100" width="9.140625" style="2"/>
    <col min="11101" max="11101" width="3.42578125" style="2" customWidth="1"/>
    <col min="11102" max="11102" width="8.140625" style="2" customWidth="1"/>
    <col min="11103" max="11103" width="7.42578125" style="2" customWidth="1"/>
    <col min="11104" max="11105" width="6.85546875" style="2" customWidth="1"/>
    <col min="11106" max="11106" width="6.7109375" style="2" customWidth="1"/>
    <col min="11107" max="11107" width="7" style="2" customWidth="1"/>
    <col min="11108" max="11113" width="7.140625" style="2" customWidth="1"/>
    <col min="11114" max="11118" width="7.42578125" style="2" customWidth="1"/>
    <col min="11119" max="11126" width="7.28515625" style="2" customWidth="1"/>
    <col min="11127" max="11129" width="7.140625" style="2" customWidth="1"/>
    <col min="11130" max="11134" width="7.42578125" style="2" customWidth="1"/>
    <col min="11135" max="11138" width="7.28515625" style="2" customWidth="1"/>
    <col min="11139" max="11142" width="6.85546875" style="2" customWidth="1"/>
    <col min="11143" max="11146" width="7.140625" style="2" customWidth="1"/>
    <col min="11147" max="11147" width="7.5703125" style="2" customWidth="1"/>
    <col min="11148" max="11148" width="6.85546875" style="2" customWidth="1"/>
    <col min="11149" max="11149" width="7.5703125" style="2" customWidth="1"/>
    <col min="11150" max="11151" width="7" style="2" customWidth="1"/>
    <col min="11152" max="11152" width="8.85546875" style="2" customWidth="1"/>
    <col min="11153" max="11153" width="6.85546875" style="2" customWidth="1"/>
    <col min="11154" max="11154" width="9.42578125" style="2" customWidth="1"/>
    <col min="11155" max="11155" width="6.85546875" style="2" customWidth="1"/>
    <col min="11156" max="11156" width="10.7109375" style="2" customWidth="1"/>
    <col min="11157" max="11157" width="7.85546875" style="2" customWidth="1"/>
    <col min="11158" max="11158" width="14.7109375" style="2" customWidth="1"/>
    <col min="11159" max="11356" width="9.140625" style="2"/>
    <col min="11357" max="11357" width="3.42578125" style="2" customWidth="1"/>
    <col min="11358" max="11358" width="8.140625" style="2" customWidth="1"/>
    <col min="11359" max="11359" width="7.42578125" style="2" customWidth="1"/>
    <col min="11360" max="11361" width="6.85546875" style="2" customWidth="1"/>
    <col min="11362" max="11362" width="6.7109375" style="2" customWidth="1"/>
    <col min="11363" max="11363" width="7" style="2" customWidth="1"/>
    <col min="11364" max="11369" width="7.140625" style="2" customWidth="1"/>
    <col min="11370" max="11374" width="7.42578125" style="2" customWidth="1"/>
    <col min="11375" max="11382" width="7.28515625" style="2" customWidth="1"/>
    <col min="11383" max="11385" width="7.140625" style="2" customWidth="1"/>
    <col min="11386" max="11390" width="7.42578125" style="2" customWidth="1"/>
    <col min="11391" max="11394" width="7.28515625" style="2" customWidth="1"/>
    <col min="11395" max="11398" width="6.85546875" style="2" customWidth="1"/>
    <col min="11399" max="11402" width="7.140625" style="2" customWidth="1"/>
    <col min="11403" max="11403" width="7.5703125" style="2" customWidth="1"/>
    <col min="11404" max="11404" width="6.85546875" style="2" customWidth="1"/>
    <col min="11405" max="11405" width="7.5703125" style="2" customWidth="1"/>
    <col min="11406" max="11407" width="7" style="2" customWidth="1"/>
    <col min="11408" max="11408" width="8.85546875" style="2" customWidth="1"/>
    <col min="11409" max="11409" width="6.85546875" style="2" customWidth="1"/>
    <col min="11410" max="11410" width="9.42578125" style="2" customWidth="1"/>
    <col min="11411" max="11411" width="6.85546875" style="2" customWidth="1"/>
    <col min="11412" max="11412" width="10.7109375" style="2" customWidth="1"/>
    <col min="11413" max="11413" width="7.85546875" style="2" customWidth="1"/>
    <col min="11414" max="11414" width="14.7109375" style="2" customWidth="1"/>
    <col min="11415" max="11612" width="9.140625" style="2"/>
    <col min="11613" max="11613" width="3.42578125" style="2" customWidth="1"/>
    <col min="11614" max="11614" width="8.140625" style="2" customWidth="1"/>
    <col min="11615" max="11615" width="7.42578125" style="2" customWidth="1"/>
    <col min="11616" max="11617" width="6.85546875" style="2" customWidth="1"/>
    <col min="11618" max="11618" width="6.7109375" style="2" customWidth="1"/>
    <col min="11619" max="11619" width="7" style="2" customWidth="1"/>
    <col min="11620" max="11625" width="7.140625" style="2" customWidth="1"/>
    <col min="11626" max="11630" width="7.42578125" style="2" customWidth="1"/>
    <col min="11631" max="11638" width="7.28515625" style="2" customWidth="1"/>
    <col min="11639" max="11641" width="7.140625" style="2" customWidth="1"/>
    <col min="11642" max="11646" width="7.42578125" style="2" customWidth="1"/>
    <col min="11647" max="11650" width="7.28515625" style="2" customWidth="1"/>
    <col min="11651" max="11654" width="6.85546875" style="2" customWidth="1"/>
    <col min="11655" max="11658" width="7.140625" style="2" customWidth="1"/>
    <col min="11659" max="11659" width="7.5703125" style="2" customWidth="1"/>
    <col min="11660" max="11660" width="6.85546875" style="2" customWidth="1"/>
    <col min="11661" max="11661" width="7.5703125" style="2" customWidth="1"/>
    <col min="11662" max="11663" width="7" style="2" customWidth="1"/>
    <col min="11664" max="11664" width="8.85546875" style="2" customWidth="1"/>
    <col min="11665" max="11665" width="6.85546875" style="2" customWidth="1"/>
    <col min="11666" max="11666" width="9.42578125" style="2" customWidth="1"/>
    <col min="11667" max="11667" width="6.85546875" style="2" customWidth="1"/>
    <col min="11668" max="11668" width="10.7109375" style="2" customWidth="1"/>
    <col min="11669" max="11669" width="7.85546875" style="2" customWidth="1"/>
    <col min="11670" max="11670" width="14.7109375" style="2" customWidth="1"/>
    <col min="11671" max="11868" width="9.140625" style="2"/>
    <col min="11869" max="11869" width="3.42578125" style="2" customWidth="1"/>
    <col min="11870" max="11870" width="8.140625" style="2" customWidth="1"/>
    <col min="11871" max="11871" width="7.42578125" style="2" customWidth="1"/>
    <col min="11872" max="11873" width="6.85546875" style="2" customWidth="1"/>
    <col min="11874" max="11874" width="6.7109375" style="2" customWidth="1"/>
    <col min="11875" max="11875" width="7" style="2" customWidth="1"/>
    <col min="11876" max="11881" width="7.140625" style="2" customWidth="1"/>
    <col min="11882" max="11886" width="7.42578125" style="2" customWidth="1"/>
    <col min="11887" max="11894" width="7.28515625" style="2" customWidth="1"/>
    <col min="11895" max="11897" width="7.140625" style="2" customWidth="1"/>
    <col min="11898" max="11902" width="7.42578125" style="2" customWidth="1"/>
    <col min="11903" max="11906" width="7.28515625" style="2" customWidth="1"/>
    <col min="11907" max="11910" width="6.85546875" style="2" customWidth="1"/>
    <col min="11911" max="11914" width="7.140625" style="2" customWidth="1"/>
    <col min="11915" max="11915" width="7.5703125" style="2" customWidth="1"/>
    <col min="11916" max="11916" width="6.85546875" style="2" customWidth="1"/>
    <col min="11917" max="11917" width="7.5703125" style="2" customWidth="1"/>
    <col min="11918" max="11919" width="7" style="2" customWidth="1"/>
    <col min="11920" max="11920" width="8.85546875" style="2" customWidth="1"/>
    <col min="11921" max="11921" width="6.85546875" style="2" customWidth="1"/>
    <col min="11922" max="11922" width="9.42578125" style="2" customWidth="1"/>
    <col min="11923" max="11923" width="6.85546875" style="2" customWidth="1"/>
    <col min="11924" max="11924" width="10.7109375" style="2" customWidth="1"/>
    <col min="11925" max="11925" width="7.85546875" style="2" customWidth="1"/>
    <col min="11926" max="11926" width="14.7109375" style="2" customWidth="1"/>
    <col min="11927" max="12124" width="9.140625" style="2"/>
    <col min="12125" max="12125" width="3.42578125" style="2" customWidth="1"/>
    <col min="12126" max="12126" width="8.140625" style="2" customWidth="1"/>
    <col min="12127" max="12127" width="7.42578125" style="2" customWidth="1"/>
    <col min="12128" max="12129" width="6.85546875" style="2" customWidth="1"/>
    <col min="12130" max="12130" width="6.7109375" style="2" customWidth="1"/>
    <col min="12131" max="12131" width="7" style="2" customWidth="1"/>
    <col min="12132" max="12137" width="7.140625" style="2" customWidth="1"/>
    <col min="12138" max="12142" width="7.42578125" style="2" customWidth="1"/>
    <col min="12143" max="12150" width="7.28515625" style="2" customWidth="1"/>
    <col min="12151" max="12153" width="7.140625" style="2" customWidth="1"/>
    <col min="12154" max="12158" width="7.42578125" style="2" customWidth="1"/>
    <col min="12159" max="12162" width="7.28515625" style="2" customWidth="1"/>
    <col min="12163" max="12166" width="6.85546875" style="2" customWidth="1"/>
    <col min="12167" max="12170" width="7.140625" style="2" customWidth="1"/>
    <col min="12171" max="12171" width="7.5703125" style="2" customWidth="1"/>
    <col min="12172" max="12172" width="6.85546875" style="2" customWidth="1"/>
    <col min="12173" max="12173" width="7.5703125" style="2" customWidth="1"/>
    <col min="12174" max="12175" width="7" style="2" customWidth="1"/>
    <col min="12176" max="12176" width="8.85546875" style="2" customWidth="1"/>
    <col min="12177" max="12177" width="6.85546875" style="2" customWidth="1"/>
    <col min="12178" max="12178" width="9.42578125" style="2" customWidth="1"/>
    <col min="12179" max="12179" width="6.85546875" style="2" customWidth="1"/>
    <col min="12180" max="12180" width="10.7109375" style="2" customWidth="1"/>
    <col min="12181" max="12181" width="7.85546875" style="2" customWidth="1"/>
    <col min="12182" max="12182" width="14.7109375" style="2" customWidth="1"/>
    <col min="12183" max="12380" width="9.140625" style="2"/>
    <col min="12381" max="12381" width="3.42578125" style="2" customWidth="1"/>
    <col min="12382" max="12382" width="8.140625" style="2" customWidth="1"/>
    <col min="12383" max="12383" width="7.42578125" style="2" customWidth="1"/>
    <col min="12384" max="12385" width="6.85546875" style="2" customWidth="1"/>
    <col min="12386" max="12386" width="6.7109375" style="2" customWidth="1"/>
    <col min="12387" max="12387" width="7" style="2" customWidth="1"/>
    <col min="12388" max="12393" width="7.140625" style="2" customWidth="1"/>
    <col min="12394" max="12398" width="7.42578125" style="2" customWidth="1"/>
    <col min="12399" max="12406" width="7.28515625" style="2" customWidth="1"/>
    <col min="12407" max="12409" width="7.140625" style="2" customWidth="1"/>
    <col min="12410" max="12414" width="7.42578125" style="2" customWidth="1"/>
    <col min="12415" max="12418" width="7.28515625" style="2" customWidth="1"/>
    <col min="12419" max="12422" width="6.85546875" style="2" customWidth="1"/>
    <col min="12423" max="12426" width="7.140625" style="2" customWidth="1"/>
    <col min="12427" max="12427" width="7.5703125" style="2" customWidth="1"/>
    <col min="12428" max="12428" width="6.85546875" style="2" customWidth="1"/>
    <col min="12429" max="12429" width="7.5703125" style="2" customWidth="1"/>
    <col min="12430" max="12431" width="7" style="2" customWidth="1"/>
    <col min="12432" max="12432" width="8.85546875" style="2" customWidth="1"/>
    <col min="12433" max="12433" width="6.85546875" style="2" customWidth="1"/>
    <col min="12434" max="12434" width="9.42578125" style="2" customWidth="1"/>
    <col min="12435" max="12435" width="6.85546875" style="2" customWidth="1"/>
    <col min="12436" max="12436" width="10.7109375" style="2" customWidth="1"/>
    <col min="12437" max="12437" width="7.85546875" style="2" customWidth="1"/>
    <col min="12438" max="12438" width="14.7109375" style="2" customWidth="1"/>
    <col min="12439" max="12636" width="9.140625" style="2"/>
    <col min="12637" max="12637" width="3.42578125" style="2" customWidth="1"/>
    <col min="12638" max="12638" width="8.140625" style="2" customWidth="1"/>
    <col min="12639" max="12639" width="7.42578125" style="2" customWidth="1"/>
    <col min="12640" max="12641" width="6.85546875" style="2" customWidth="1"/>
    <col min="12642" max="12642" width="6.7109375" style="2" customWidth="1"/>
    <col min="12643" max="12643" width="7" style="2" customWidth="1"/>
    <col min="12644" max="12649" width="7.140625" style="2" customWidth="1"/>
    <col min="12650" max="12654" width="7.42578125" style="2" customWidth="1"/>
    <col min="12655" max="12662" width="7.28515625" style="2" customWidth="1"/>
    <col min="12663" max="12665" width="7.140625" style="2" customWidth="1"/>
    <col min="12666" max="12670" width="7.42578125" style="2" customWidth="1"/>
    <col min="12671" max="12674" width="7.28515625" style="2" customWidth="1"/>
    <col min="12675" max="12678" width="6.85546875" style="2" customWidth="1"/>
    <col min="12679" max="12682" width="7.140625" style="2" customWidth="1"/>
    <col min="12683" max="12683" width="7.5703125" style="2" customWidth="1"/>
    <col min="12684" max="12684" width="6.85546875" style="2" customWidth="1"/>
    <col min="12685" max="12685" width="7.5703125" style="2" customWidth="1"/>
    <col min="12686" max="12687" width="7" style="2" customWidth="1"/>
    <col min="12688" max="12688" width="8.85546875" style="2" customWidth="1"/>
    <col min="12689" max="12689" width="6.85546875" style="2" customWidth="1"/>
    <col min="12690" max="12690" width="9.42578125" style="2" customWidth="1"/>
    <col min="12691" max="12691" width="6.85546875" style="2" customWidth="1"/>
    <col min="12692" max="12692" width="10.7109375" style="2" customWidth="1"/>
    <col min="12693" max="12693" width="7.85546875" style="2" customWidth="1"/>
    <col min="12694" max="12694" width="14.7109375" style="2" customWidth="1"/>
    <col min="12695" max="12892" width="9.140625" style="2"/>
    <col min="12893" max="12893" width="3.42578125" style="2" customWidth="1"/>
    <col min="12894" max="12894" width="8.140625" style="2" customWidth="1"/>
    <col min="12895" max="12895" width="7.42578125" style="2" customWidth="1"/>
    <col min="12896" max="12897" width="6.85546875" style="2" customWidth="1"/>
    <col min="12898" max="12898" width="6.7109375" style="2" customWidth="1"/>
    <col min="12899" max="12899" width="7" style="2" customWidth="1"/>
    <col min="12900" max="12905" width="7.140625" style="2" customWidth="1"/>
    <col min="12906" max="12910" width="7.42578125" style="2" customWidth="1"/>
    <col min="12911" max="12918" width="7.28515625" style="2" customWidth="1"/>
    <col min="12919" max="12921" width="7.140625" style="2" customWidth="1"/>
    <col min="12922" max="12926" width="7.42578125" style="2" customWidth="1"/>
    <col min="12927" max="12930" width="7.28515625" style="2" customWidth="1"/>
    <col min="12931" max="12934" width="6.85546875" style="2" customWidth="1"/>
    <col min="12935" max="12938" width="7.140625" style="2" customWidth="1"/>
    <col min="12939" max="12939" width="7.5703125" style="2" customWidth="1"/>
    <col min="12940" max="12940" width="6.85546875" style="2" customWidth="1"/>
    <col min="12941" max="12941" width="7.5703125" style="2" customWidth="1"/>
    <col min="12942" max="12943" width="7" style="2" customWidth="1"/>
    <col min="12944" max="12944" width="8.85546875" style="2" customWidth="1"/>
    <col min="12945" max="12945" width="6.85546875" style="2" customWidth="1"/>
    <col min="12946" max="12946" width="9.42578125" style="2" customWidth="1"/>
    <col min="12947" max="12947" width="6.85546875" style="2" customWidth="1"/>
    <col min="12948" max="12948" width="10.7109375" style="2" customWidth="1"/>
    <col min="12949" max="12949" width="7.85546875" style="2" customWidth="1"/>
    <col min="12950" max="12950" width="14.7109375" style="2" customWidth="1"/>
    <col min="12951" max="13148" width="9.140625" style="2"/>
    <col min="13149" max="13149" width="3.42578125" style="2" customWidth="1"/>
    <col min="13150" max="13150" width="8.140625" style="2" customWidth="1"/>
    <col min="13151" max="13151" width="7.42578125" style="2" customWidth="1"/>
    <col min="13152" max="13153" width="6.85546875" style="2" customWidth="1"/>
    <col min="13154" max="13154" width="6.7109375" style="2" customWidth="1"/>
    <col min="13155" max="13155" width="7" style="2" customWidth="1"/>
    <col min="13156" max="13161" width="7.140625" style="2" customWidth="1"/>
    <col min="13162" max="13166" width="7.42578125" style="2" customWidth="1"/>
    <col min="13167" max="13174" width="7.28515625" style="2" customWidth="1"/>
    <col min="13175" max="13177" width="7.140625" style="2" customWidth="1"/>
    <col min="13178" max="13182" width="7.42578125" style="2" customWidth="1"/>
    <col min="13183" max="13186" width="7.28515625" style="2" customWidth="1"/>
    <col min="13187" max="13190" width="6.85546875" style="2" customWidth="1"/>
    <col min="13191" max="13194" width="7.140625" style="2" customWidth="1"/>
    <col min="13195" max="13195" width="7.5703125" style="2" customWidth="1"/>
    <col min="13196" max="13196" width="6.85546875" style="2" customWidth="1"/>
    <col min="13197" max="13197" width="7.5703125" style="2" customWidth="1"/>
    <col min="13198" max="13199" width="7" style="2" customWidth="1"/>
    <col min="13200" max="13200" width="8.85546875" style="2" customWidth="1"/>
    <col min="13201" max="13201" width="6.85546875" style="2" customWidth="1"/>
    <col min="13202" max="13202" width="9.42578125" style="2" customWidth="1"/>
    <col min="13203" max="13203" width="6.85546875" style="2" customWidth="1"/>
    <col min="13204" max="13204" width="10.7109375" style="2" customWidth="1"/>
    <col min="13205" max="13205" width="7.85546875" style="2" customWidth="1"/>
    <col min="13206" max="13206" width="14.7109375" style="2" customWidth="1"/>
    <col min="13207" max="13404" width="9.140625" style="2"/>
    <col min="13405" max="13405" width="3.42578125" style="2" customWidth="1"/>
    <col min="13406" max="13406" width="8.140625" style="2" customWidth="1"/>
    <col min="13407" max="13407" width="7.42578125" style="2" customWidth="1"/>
    <col min="13408" max="13409" width="6.85546875" style="2" customWidth="1"/>
    <col min="13410" max="13410" width="6.7109375" style="2" customWidth="1"/>
    <col min="13411" max="13411" width="7" style="2" customWidth="1"/>
    <col min="13412" max="13417" width="7.140625" style="2" customWidth="1"/>
    <col min="13418" max="13422" width="7.42578125" style="2" customWidth="1"/>
    <col min="13423" max="13430" width="7.28515625" style="2" customWidth="1"/>
    <col min="13431" max="13433" width="7.140625" style="2" customWidth="1"/>
    <col min="13434" max="13438" width="7.42578125" style="2" customWidth="1"/>
    <col min="13439" max="13442" width="7.28515625" style="2" customWidth="1"/>
    <col min="13443" max="13446" width="6.85546875" style="2" customWidth="1"/>
    <col min="13447" max="13450" width="7.140625" style="2" customWidth="1"/>
    <col min="13451" max="13451" width="7.5703125" style="2" customWidth="1"/>
    <col min="13452" max="13452" width="6.85546875" style="2" customWidth="1"/>
    <col min="13453" max="13453" width="7.5703125" style="2" customWidth="1"/>
    <col min="13454" max="13455" width="7" style="2" customWidth="1"/>
    <col min="13456" max="13456" width="8.85546875" style="2" customWidth="1"/>
    <col min="13457" max="13457" width="6.85546875" style="2" customWidth="1"/>
    <col min="13458" max="13458" width="9.42578125" style="2" customWidth="1"/>
    <col min="13459" max="13459" width="6.85546875" style="2" customWidth="1"/>
    <col min="13460" max="13460" width="10.7109375" style="2" customWidth="1"/>
    <col min="13461" max="13461" width="7.85546875" style="2" customWidth="1"/>
    <col min="13462" max="13462" width="14.7109375" style="2" customWidth="1"/>
    <col min="13463" max="13660" width="9.140625" style="2"/>
    <col min="13661" max="13661" width="3.42578125" style="2" customWidth="1"/>
    <col min="13662" max="13662" width="8.140625" style="2" customWidth="1"/>
    <col min="13663" max="13663" width="7.42578125" style="2" customWidth="1"/>
    <col min="13664" max="13665" width="6.85546875" style="2" customWidth="1"/>
    <col min="13666" max="13666" width="6.7109375" style="2" customWidth="1"/>
    <col min="13667" max="13667" width="7" style="2" customWidth="1"/>
    <col min="13668" max="13673" width="7.140625" style="2" customWidth="1"/>
    <col min="13674" max="13678" width="7.42578125" style="2" customWidth="1"/>
    <col min="13679" max="13686" width="7.28515625" style="2" customWidth="1"/>
    <col min="13687" max="13689" width="7.140625" style="2" customWidth="1"/>
    <col min="13690" max="13694" width="7.42578125" style="2" customWidth="1"/>
    <col min="13695" max="13698" width="7.28515625" style="2" customWidth="1"/>
    <col min="13699" max="13702" width="6.85546875" style="2" customWidth="1"/>
    <col min="13703" max="13706" width="7.140625" style="2" customWidth="1"/>
    <col min="13707" max="13707" width="7.5703125" style="2" customWidth="1"/>
    <col min="13708" max="13708" width="6.85546875" style="2" customWidth="1"/>
    <col min="13709" max="13709" width="7.5703125" style="2" customWidth="1"/>
    <col min="13710" max="13711" width="7" style="2" customWidth="1"/>
    <col min="13712" max="13712" width="8.85546875" style="2" customWidth="1"/>
    <col min="13713" max="13713" width="6.85546875" style="2" customWidth="1"/>
    <col min="13714" max="13714" width="9.42578125" style="2" customWidth="1"/>
    <col min="13715" max="13715" width="6.85546875" style="2" customWidth="1"/>
    <col min="13716" max="13716" width="10.7109375" style="2" customWidth="1"/>
    <col min="13717" max="13717" width="7.85546875" style="2" customWidth="1"/>
    <col min="13718" max="13718" width="14.7109375" style="2" customWidth="1"/>
    <col min="13719" max="13916" width="9.140625" style="2"/>
    <col min="13917" max="13917" width="3.42578125" style="2" customWidth="1"/>
    <col min="13918" max="13918" width="8.140625" style="2" customWidth="1"/>
    <col min="13919" max="13919" width="7.42578125" style="2" customWidth="1"/>
    <col min="13920" max="13921" width="6.85546875" style="2" customWidth="1"/>
    <col min="13922" max="13922" width="6.7109375" style="2" customWidth="1"/>
    <col min="13923" max="13923" width="7" style="2" customWidth="1"/>
    <col min="13924" max="13929" width="7.140625" style="2" customWidth="1"/>
    <col min="13930" max="13934" width="7.42578125" style="2" customWidth="1"/>
    <col min="13935" max="13942" width="7.28515625" style="2" customWidth="1"/>
    <col min="13943" max="13945" width="7.140625" style="2" customWidth="1"/>
    <col min="13946" max="13950" width="7.42578125" style="2" customWidth="1"/>
    <col min="13951" max="13954" width="7.28515625" style="2" customWidth="1"/>
    <col min="13955" max="13958" width="6.85546875" style="2" customWidth="1"/>
    <col min="13959" max="13962" width="7.140625" style="2" customWidth="1"/>
    <col min="13963" max="13963" width="7.5703125" style="2" customWidth="1"/>
    <col min="13964" max="13964" width="6.85546875" style="2" customWidth="1"/>
    <col min="13965" max="13965" width="7.5703125" style="2" customWidth="1"/>
    <col min="13966" max="13967" width="7" style="2" customWidth="1"/>
    <col min="13968" max="13968" width="8.85546875" style="2" customWidth="1"/>
    <col min="13969" max="13969" width="6.85546875" style="2" customWidth="1"/>
    <col min="13970" max="13970" width="9.42578125" style="2" customWidth="1"/>
    <col min="13971" max="13971" width="6.85546875" style="2" customWidth="1"/>
    <col min="13972" max="13972" width="10.7109375" style="2" customWidth="1"/>
    <col min="13973" max="13973" width="7.85546875" style="2" customWidth="1"/>
    <col min="13974" max="13974" width="14.7109375" style="2" customWidth="1"/>
    <col min="13975" max="14172" width="9.140625" style="2"/>
    <col min="14173" max="14173" width="3.42578125" style="2" customWidth="1"/>
    <col min="14174" max="14174" width="8.140625" style="2" customWidth="1"/>
    <col min="14175" max="14175" width="7.42578125" style="2" customWidth="1"/>
    <col min="14176" max="14177" width="6.85546875" style="2" customWidth="1"/>
    <col min="14178" max="14178" width="6.7109375" style="2" customWidth="1"/>
    <col min="14179" max="14179" width="7" style="2" customWidth="1"/>
    <col min="14180" max="14185" width="7.140625" style="2" customWidth="1"/>
    <col min="14186" max="14190" width="7.42578125" style="2" customWidth="1"/>
    <col min="14191" max="14198" width="7.28515625" style="2" customWidth="1"/>
    <col min="14199" max="14201" width="7.140625" style="2" customWidth="1"/>
    <col min="14202" max="14206" width="7.42578125" style="2" customWidth="1"/>
    <col min="14207" max="14210" width="7.28515625" style="2" customWidth="1"/>
    <col min="14211" max="14214" width="6.85546875" style="2" customWidth="1"/>
    <col min="14215" max="14218" width="7.140625" style="2" customWidth="1"/>
    <col min="14219" max="14219" width="7.5703125" style="2" customWidth="1"/>
    <col min="14220" max="14220" width="6.85546875" style="2" customWidth="1"/>
    <col min="14221" max="14221" width="7.5703125" style="2" customWidth="1"/>
    <col min="14222" max="14223" width="7" style="2" customWidth="1"/>
    <col min="14224" max="14224" width="8.85546875" style="2" customWidth="1"/>
    <col min="14225" max="14225" width="6.85546875" style="2" customWidth="1"/>
    <col min="14226" max="14226" width="9.42578125" style="2" customWidth="1"/>
    <col min="14227" max="14227" width="6.85546875" style="2" customWidth="1"/>
    <col min="14228" max="14228" width="10.7109375" style="2" customWidth="1"/>
    <col min="14229" max="14229" width="7.85546875" style="2" customWidth="1"/>
    <col min="14230" max="14230" width="14.7109375" style="2" customWidth="1"/>
    <col min="14231" max="14428" width="9.140625" style="2"/>
    <col min="14429" max="14429" width="3.42578125" style="2" customWidth="1"/>
    <col min="14430" max="14430" width="8.140625" style="2" customWidth="1"/>
    <col min="14431" max="14431" width="7.42578125" style="2" customWidth="1"/>
    <col min="14432" max="14433" width="6.85546875" style="2" customWidth="1"/>
    <col min="14434" max="14434" width="6.7109375" style="2" customWidth="1"/>
    <col min="14435" max="14435" width="7" style="2" customWidth="1"/>
    <col min="14436" max="14441" width="7.140625" style="2" customWidth="1"/>
    <col min="14442" max="14446" width="7.42578125" style="2" customWidth="1"/>
    <col min="14447" max="14454" width="7.28515625" style="2" customWidth="1"/>
    <col min="14455" max="14457" width="7.140625" style="2" customWidth="1"/>
    <col min="14458" max="14462" width="7.42578125" style="2" customWidth="1"/>
    <col min="14463" max="14466" width="7.28515625" style="2" customWidth="1"/>
    <col min="14467" max="14470" width="6.85546875" style="2" customWidth="1"/>
    <col min="14471" max="14474" width="7.140625" style="2" customWidth="1"/>
    <col min="14475" max="14475" width="7.5703125" style="2" customWidth="1"/>
    <col min="14476" max="14476" width="6.85546875" style="2" customWidth="1"/>
    <col min="14477" max="14477" width="7.5703125" style="2" customWidth="1"/>
    <col min="14478" max="14479" width="7" style="2" customWidth="1"/>
    <col min="14480" max="14480" width="8.85546875" style="2" customWidth="1"/>
    <col min="14481" max="14481" width="6.85546875" style="2" customWidth="1"/>
    <col min="14482" max="14482" width="9.42578125" style="2" customWidth="1"/>
    <col min="14483" max="14483" width="6.85546875" style="2" customWidth="1"/>
    <col min="14484" max="14484" width="10.7109375" style="2" customWidth="1"/>
    <col min="14485" max="14485" width="7.85546875" style="2" customWidth="1"/>
    <col min="14486" max="14486" width="14.7109375" style="2" customWidth="1"/>
    <col min="14487" max="14684" width="9.140625" style="2"/>
    <col min="14685" max="14685" width="3.42578125" style="2" customWidth="1"/>
    <col min="14686" max="14686" width="8.140625" style="2" customWidth="1"/>
    <col min="14687" max="14687" width="7.42578125" style="2" customWidth="1"/>
    <col min="14688" max="14689" width="6.85546875" style="2" customWidth="1"/>
    <col min="14690" max="14690" width="6.7109375" style="2" customWidth="1"/>
    <col min="14691" max="14691" width="7" style="2" customWidth="1"/>
    <col min="14692" max="14697" width="7.140625" style="2" customWidth="1"/>
    <col min="14698" max="14702" width="7.42578125" style="2" customWidth="1"/>
    <col min="14703" max="14710" width="7.28515625" style="2" customWidth="1"/>
    <col min="14711" max="14713" width="7.140625" style="2" customWidth="1"/>
    <col min="14714" max="14718" width="7.42578125" style="2" customWidth="1"/>
    <col min="14719" max="14722" width="7.28515625" style="2" customWidth="1"/>
    <col min="14723" max="14726" width="6.85546875" style="2" customWidth="1"/>
    <col min="14727" max="14730" width="7.140625" style="2" customWidth="1"/>
    <col min="14731" max="14731" width="7.5703125" style="2" customWidth="1"/>
    <col min="14732" max="14732" width="6.85546875" style="2" customWidth="1"/>
    <col min="14733" max="14733" width="7.5703125" style="2" customWidth="1"/>
    <col min="14734" max="14735" width="7" style="2" customWidth="1"/>
    <col min="14736" max="14736" width="8.85546875" style="2" customWidth="1"/>
    <col min="14737" max="14737" width="6.85546875" style="2" customWidth="1"/>
    <col min="14738" max="14738" width="9.42578125" style="2" customWidth="1"/>
    <col min="14739" max="14739" width="6.85546875" style="2" customWidth="1"/>
    <col min="14740" max="14740" width="10.7109375" style="2" customWidth="1"/>
    <col min="14741" max="14741" width="7.85546875" style="2" customWidth="1"/>
    <col min="14742" max="14742" width="14.7109375" style="2" customWidth="1"/>
    <col min="14743" max="14940" width="9.140625" style="2"/>
    <col min="14941" max="14941" width="3.42578125" style="2" customWidth="1"/>
    <col min="14942" max="14942" width="8.140625" style="2" customWidth="1"/>
    <col min="14943" max="14943" width="7.42578125" style="2" customWidth="1"/>
    <col min="14944" max="14945" width="6.85546875" style="2" customWidth="1"/>
    <col min="14946" max="14946" width="6.7109375" style="2" customWidth="1"/>
    <col min="14947" max="14947" width="7" style="2" customWidth="1"/>
    <col min="14948" max="14953" width="7.140625" style="2" customWidth="1"/>
    <col min="14954" max="14958" width="7.42578125" style="2" customWidth="1"/>
    <col min="14959" max="14966" width="7.28515625" style="2" customWidth="1"/>
    <col min="14967" max="14969" width="7.140625" style="2" customWidth="1"/>
    <col min="14970" max="14974" width="7.42578125" style="2" customWidth="1"/>
    <col min="14975" max="14978" width="7.28515625" style="2" customWidth="1"/>
    <col min="14979" max="14982" width="6.85546875" style="2" customWidth="1"/>
    <col min="14983" max="14986" width="7.140625" style="2" customWidth="1"/>
    <col min="14987" max="14987" width="7.5703125" style="2" customWidth="1"/>
    <col min="14988" max="14988" width="6.85546875" style="2" customWidth="1"/>
    <col min="14989" max="14989" width="7.5703125" style="2" customWidth="1"/>
    <col min="14990" max="14991" width="7" style="2" customWidth="1"/>
    <col min="14992" max="14992" width="8.85546875" style="2" customWidth="1"/>
    <col min="14993" max="14993" width="6.85546875" style="2" customWidth="1"/>
    <col min="14994" max="14994" width="9.42578125" style="2" customWidth="1"/>
    <col min="14995" max="14995" width="6.85546875" style="2" customWidth="1"/>
    <col min="14996" max="14996" width="10.7109375" style="2" customWidth="1"/>
    <col min="14997" max="14997" width="7.85546875" style="2" customWidth="1"/>
    <col min="14998" max="14998" width="14.7109375" style="2" customWidth="1"/>
    <col min="14999" max="15196" width="9.140625" style="2"/>
    <col min="15197" max="15197" width="3.42578125" style="2" customWidth="1"/>
    <col min="15198" max="15198" width="8.140625" style="2" customWidth="1"/>
    <col min="15199" max="15199" width="7.42578125" style="2" customWidth="1"/>
    <col min="15200" max="15201" width="6.85546875" style="2" customWidth="1"/>
    <col min="15202" max="15202" width="6.7109375" style="2" customWidth="1"/>
    <col min="15203" max="15203" width="7" style="2" customWidth="1"/>
    <col min="15204" max="15209" width="7.140625" style="2" customWidth="1"/>
    <col min="15210" max="15214" width="7.42578125" style="2" customWidth="1"/>
    <col min="15215" max="15222" width="7.28515625" style="2" customWidth="1"/>
    <col min="15223" max="15225" width="7.140625" style="2" customWidth="1"/>
    <col min="15226" max="15230" width="7.42578125" style="2" customWidth="1"/>
    <col min="15231" max="15234" width="7.28515625" style="2" customWidth="1"/>
    <col min="15235" max="15238" width="6.85546875" style="2" customWidth="1"/>
    <col min="15239" max="15242" width="7.140625" style="2" customWidth="1"/>
    <col min="15243" max="15243" width="7.5703125" style="2" customWidth="1"/>
    <col min="15244" max="15244" width="6.85546875" style="2" customWidth="1"/>
    <col min="15245" max="15245" width="7.5703125" style="2" customWidth="1"/>
    <col min="15246" max="15247" width="7" style="2" customWidth="1"/>
    <col min="15248" max="15248" width="8.85546875" style="2" customWidth="1"/>
    <col min="15249" max="15249" width="6.85546875" style="2" customWidth="1"/>
    <col min="15250" max="15250" width="9.42578125" style="2" customWidth="1"/>
    <col min="15251" max="15251" width="6.85546875" style="2" customWidth="1"/>
    <col min="15252" max="15252" width="10.7109375" style="2" customWidth="1"/>
    <col min="15253" max="15253" width="7.85546875" style="2" customWidth="1"/>
    <col min="15254" max="15254" width="14.7109375" style="2" customWidth="1"/>
    <col min="15255" max="15452" width="9.140625" style="2"/>
    <col min="15453" max="15453" width="3.42578125" style="2" customWidth="1"/>
    <col min="15454" max="15454" width="8.140625" style="2" customWidth="1"/>
    <col min="15455" max="15455" width="7.42578125" style="2" customWidth="1"/>
    <col min="15456" max="15457" width="6.85546875" style="2" customWidth="1"/>
    <col min="15458" max="15458" width="6.7109375" style="2" customWidth="1"/>
    <col min="15459" max="15459" width="7" style="2" customWidth="1"/>
    <col min="15460" max="15465" width="7.140625" style="2" customWidth="1"/>
    <col min="15466" max="15470" width="7.42578125" style="2" customWidth="1"/>
    <col min="15471" max="15478" width="7.28515625" style="2" customWidth="1"/>
    <col min="15479" max="15481" width="7.140625" style="2" customWidth="1"/>
    <col min="15482" max="15486" width="7.42578125" style="2" customWidth="1"/>
    <col min="15487" max="15490" width="7.28515625" style="2" customWidth="1"/>
    <col min="15491" max="15494" width="6.85546875" style="2" customWidth="1"/>
    <col min="15495" max="15498" width="7.140625" style="2" customWidth="1"/>
    <col min="15499" max="15499" width="7.5703125" style="2" customWidth="1"/>
    <col min="15500" max="15500" width="6.85546875" style="2" customWidth="1"/>
    <col min="15501" max="15501" width="7.5703125" style="2" customWidth="1"/>
    <col min="15502" max="15503" width="7" style="2" customWidth="1"/>
    <col min="15504" max="15504" width="8.85546875" style="2" customWidth="1"/>
    <col min="15505" max="15505" width="6.85546875" style="2" customWidth="1"/>
    <col min="15506" max="15506" width="9.42578125" style="2" customWidth="1"/>
    <col min="15507" max="15507" width="6.85546875" style="2" customWidth="1"/>
    <col min="15508" max="15508" width="10.7109375" style="2" customWidth="1"/>
    <col min="15509" max="15509" width="7.85546875" style="2" customWidth="1"/>
    <col min="15510" max="15510" width="14.7109375" style="2" customWidth="1"/>
    <col min="15511" max="15708" width="9.140625" style="2"/>
    <col min="15709" max="15709" width="3.42578125" style="2" customWidth="1"/>
    <col min="15710" max="15710" width="8.140625" style="2" customWidth="1"/>
    <col min="15711" max="15711" width="7.42578125" style="2" customWidth="1"/>
    <col min="15712" max="15713" width="6.85546875" style="2" customWidth="1"/>
    <col min="15714" max="15714" width="6.7109375" style="2" customWidth="1"/>
    <col min="15715" max="15715" width="7" style="2" customWidth="1"/>
    <col min="15716" max="15721" width="7.140625" style="2" customWidth="1"/>
    <col min="15722" max="15726" width="7.42578125" style="2" customWidth="1"/>
    <col min="15727" max="15734" width="7.28515625" style="2" customWidth="1"/>
    <col min="15735" max="15737" width="7.140625" style="2" customWidth="1"/>
    <col min="15738" max="15742" width="7.42578125" style="2" customWidth="1"/>
    <col min="15743" max="15746" width="7.28515625" style="2" customWidth="1"/>
    <col min="15747" max="15750" width="6.85546875" style="2" customWidth="1"/>
    <col min="15751" max="15754" width="7.140625" style="2" customWidth="1"/>
    <col min="15755" max="15755" width="7.5703125" style="2" customWidth="1"/>
    <col min="15756" max="15756" width="6.85546875" style="2" customWidth="1"/>
    <col min="15757" max="15757" width="7.5703125" style="2" customWidth="1"/>
    <col min="15758" max="15759" width="7" style="2" customWidth="1"/>
    <col min="15760" max="15760" width="8.85546875" style="2" customWidth="1"/>
    <col min="15761" max="15761" width="6.85546875" style="2" customWidth="1"/>
    <col min="15762" max="15762" width="9.42578125" style="2" customWidth="1"/>
    <col min="15763" max="15763" width="6.85546875" style="2" customWidth="1"/>
    <col min="15764" max="15764" width="10.7109375" style="2" customWidth="1"/>
    <col min="15765" max="15765" width="7.85546875" style="2" customWidth="1"/>
    <col min="15766" max="15766" width="14.7109375" style="2" customWidth="1"/>
    <col min="15767" max="15964" width="9.140625" style="2"/>
    <col min="15965" max="15965" width="3.42578125" style="2" customWidth="1"/>
    <col min="15966" max="15966" width="8.140625" style="2" customWidth="1"/>
    <col min="15967" max="15967" width="7.42578125" style="2" customWidth="1"/>
    <col min="15968" max="15969" width="6.85546875" style="2" customWidth="1"/>
    <col min="15970" max="15970" width="6.7109375" style="2" customWidth="1"/>
    <col min="15971" max="15971" width="7" style="2" customWidth="1"/>
    <col min="15972" max="15977" width="7.140625" style="2" customWidth="1"/>
    <col min="15978" max="15982" width="7.42578125" style="2" customWidth="1"/>
    <col min="15983" max="16384" width="9.140625" style="2"/>
  </cols>
  <sheetData>
    <row r="3" spans="2:58" ht="13.5" thickBot="1"/>
    <row r="4" spans="2:58">
      <c r="B4" s="39"/>
      <c r="C4" s="40">
        <v>1</v>
      </c>
      <c r="D4" s="41" t="s">
        <v>24</v>
      </c>
      <c r="E4" s="41"/>
      <c r="F4" s="42"/>
      <c r="G4" s="40">
        <v>2</v>
      </c>
      <c r="H4" s="41" t="s">
        <v>25</v>
      </c>
      <c r="I4" s="41"/>
      <c r="J4" s="42"/>
      <c r="K4" s="43">
        <v>3</v>
      </c>
      <c r="L4" s="44" t="s">
        <v>26</v>
      </c>
      <c r="M4" s="44"/>
      <c r="N4" s="45"/>
      <c r="O4" s="46">
        <v>4</v>
      </c>
      <c r="P4" s="44" t="s">
        <v>27</v>
      </c>
      <c r="Q4" s="44"/>
      <c r="R4" s="45"/>
      <c r="S4" s="46">
        <v>5</v>
      </c>
      <c r="T4" s="44" t="s">
        <v>28</v>
      </c>
      <c r="U4" s="44"/>
      <c r="V4" s="45"/>
      <c r="W4" s="46">
        <v>6</v>
      </c>
      <c r="X4" s="44" t="s">
        <v>29</v>
      </c>
      <c r="Y4" s="44"/>
      <c r="Z4" s="45"/>
      <c r="AA4" s="46">
        <v>7</v>
      </c>
      <c r="AB4" s="44" t="s">
        <v>30</v>
      </c>
      <c r="AC4" s="44"/>
      <c r="AD4" s="45"/>
      <c r="AE4" s="46">
        <v>8</v>
      </c>
      <c r="AF4" s="44" t="s">
        <v>31</v>
      </c>
      <c r="AG4" s="44"/>
      <c r="AH4" s="45"/>
      <c r="AI4" s="46">
        <v>9</v>
      </c>
      <c r="AJ4" s="44" t="s">
        <v>32</v>
      </c>
      <c r="AK4" s="44"/>
      <c r="AL4" s="45"/>
      <c r="AM4" s="46">
        <v>10</v>
      </c>
      <c r="AN4" s="44" t="s">
        <v>33</v>
      </c>
      <c r="AO4" s="44"/>
      <c r="AP4" s="45"/>
      <c r="AQ4" s="47">
        <v>11</v>
      </c>
      <c r="AR4" s="44" t="s">
        <v>34</v>
      </c>
      <c r="AS4" s="44"/>
      <c r="AT4" s="48"/>
      <c r="AU4" s="46">
        <v>12</v>
      </c>
      <c r="AV4" s="44" t="s">
        <v>35</v>
      </c>
      <c r="AW4" s="44"/>
      <c r="AX4" s="45"/>
      <c r="AY4" s="46">
        <v>13</v>
      </c>
      <c r="AZ4" s="49" t="s">
        <v>36</v>
      </c>
      <c r="BA4" s="50">
        <v>14</v>
      </c>
      <c r="BB4" s="48" t="s">
        <v>37</v>
      </c>
      <c r="BC4" s="50">
        <v>15</v>
      </c>
      <c r="BD4" s="48" t="s">
        <v>38</v>
      </c>
      <c r="BE4" s="50">
        <v>16</v>
      </c>
      <c r="BF4" s="48" t="s">
        <v>39</v>
      </c>
    </row>
    <row r="5" spans="2:58" s="58" customFormat="1" ht="25.5">
      <c r="B5" s="51" t="s">
        <v>4</v>
      </c>
      <c r="C5" s="52" t="s">
        <v>40</v>
      </c>
      <c r="D5" s="53" t="s">
        <v>41</v>
      </c>
      <c r="E5" s="53" t="s">
        <v>42</v>
      </c>
      <c r="F5" s="54" t="s">
        <v>43</v>
      </c>
      <c r="G5" s="52" t="s">
        <v>40</v>
      </c>
      <c r="H5" s="53" t="s">
        <v>41</v>
      </c>
      <c r="I5" s="53" t="s">
        <v>42</v>
      </c>
      <c r="J5" s="54" t="s">
        <v>43</v>
      </c>
      <c r="K5" s="55" t="s">
        <v>40</v>
      </c>
      <c r="L5" s="53" t="s">
        <v>41</v>
      </c>
      <c r="M5" s="53" t="s">
        <v>42</v>
      </c>
      <c r="N5" s="56" t="s">
        <v>43</v>
      </c>
      <c r="O5" s="57" t="s">
        <v>40</v>
      </c>
      <c r="P5" s="53" t="s">
        <v>41</v>
      </c>
      <c r="Q5" s="53" t="s">
        <v>44</v>
      </c>
      <c r="R5" s="56" t="s">
        <v>45</v>
      </c>
      <c r="S5" s="57" t="s">
        <v>40</v>
      </c>
      <c r="T5" s="53" t="s">
        <v>41</v>
      </c>
      <c r="U5" s="53" t="s">
        <v>46</v>
      </c>
      <c r="V5" s="56" t="s">
        <v>47</v>
      </c>
      <c r="W5" s="57" t="s">
        <v>40</v>
      </c>
      <c r="X5" s="53" t="s">
        <v>41</v>
      </c>
      <c r="Y5" s="53" t="s">
        <v>44</v>
      </c>
      <c r="Z5" s="56" t="s">
        <v>45</v>
      </c>
      <c r="AA5" s="57" t="s">
        <v>48</v>
      </c>
      <c r="AB5" s="53" t="s">
        <v>49</v>
      </c>
      <c r="AC5" s="53" t="s">
        <v>46</v>
      </c>
      <c r="AD5" s="56" t="s">
        <v>47</v>
      </c>
      <c r="AE5" s="57" t="s">
        <v>40</v>
      </c>
      <c r="AF5" s="53" t="s">
        <v>41</v>
      </c>
      <c r="AG5" s="53" t="s">
        <v>42</v>
      </c>
      <c r="AH5" s="56" t="s">
        <v>43</v>
      </c>
      <c r="AI5" s="57" t="s">
        <v>40</v>
      </c>
      <c r="AJ5" s="53" t="s">
        <v>41</v>
      </c>
      <c r="AK5" s="53" t="s">
        <v>46</v>
      </c>
      <c r="AL5" s="56" t="s">
        <v>47</v>
      </c>
      <c r="AM5" s="57" t="s">
        <v>40</v>
      </c>
      <c r="AN5" s="53" t="s">
        <v>41</v>
      </c>
      <c r="AO5" s="53" t="s">
        <v>42</v>
      </c>
      <c r="AP5" s="56" t="s">
        <v>43</v>
      </c>
      <c r="AQ5" s="57" t="s">
        <v>40</v>
      </c>
      <c r="AR5" s="53" t="s">
        <v>41</v>
      </c>
      <c r="AS5" s="53" t="s">
        <v>42</v>
      </c>
      <c r="AT5" s="56" t="s">
        <v>43</v>
      </c>
      <c r="AU5" s="57" t="s">
        <v>40</v>
      </c>
      <c r="AV5" s="53" t="s">
        <v>41</v>
      </c>
      <c r="AW5" s="53" t="s">
        <v>46</v>
      </c>
      <c r="AX5" s="56" t="s">
        <v>47</v>
      </c>
      <c r="AY5" s="57" t="s">
        <v>50</v>
      </c>
      <c r="AZ5" s="56" t="s">
        <v>5</v>
      </c>
      <c r="BA5" s="57" t="s">
        <v>50</v>
      </c>
      <c r="BB5" s="56" t="s">
        <v>5</v>
      </c>
      <c r="BC5" s="57" t="s">
        <v>50</v>
      </c>
      <c r="BD5" s="56" t="s">
        <v>5</v>
      </c>
      <c r="BE5" s="57" t="s">
        <v>50</v>
      </c>
      <c r="BF5" s="56" t="s">
        <v>5</v>
      </c>
    </row>
    <row r="6" spans="2:58">
      <c r="B6" s="59">
        <v>8</v>
      </c>
      <c r="C6" s="60">
        <v>20</v>
      </c>
      <c r="D6" s="61">
        <v>9</v>
      </c>
      <c r="E6" s="61">
        <v>30</v>
      </c>
      <c r="F6" s="62">
        <v>7.1</v>
      </c>
      <c r="G6" s="60">
        <v>20</v>
      </c>
      <c r="H6" s="61">
        <v>8.1</v>
      </c>
      <c r="I6" s="61">
        <v>20</v>
      </c>
      <c r="J6" s="62">
        <v>5.8</v>
      </c>
      <c r="K6" s="63">
        <v>30</v>
      </c>
      <c r="L6" s="61">
        <v>11.1</v>
      </c>
      <c r="M6" s="61">
        <v>30</v>
      </c>
      <c r="N6" s="64">
        <v>9.1</v>
      </c>
      <c r="O6" s="65">
        <f t="shared" ref="O6:O11" si="0">CEILING(B6*1.5,5)</f>
        <v>15</v>
      </c>
      <c r="P6" s="61">
        <v>7.5</v>
      </c>
      <c r="Q6" s="66">
        <f>O6+5</f>
        <v>20</v>
      </c>
      <c r="R6" s="64">
        <v>7.5</v>
      </c>
      <c r="S6" s="65">
        <v>20</v>
      </c>
      <c r="T6" s="61">
        <v>12</v>
      </c>
      <c r="U6" s="66">
        <v>25</v>
      </c>
      <c r="V6" s="64">
        <v>11.1</v>
      </c>
      <c r="W6" s="65">
        <v>20</v>
      </c>
      <c r="X6" s="61">
        <v>9.8000000000000007</v>
      </c>
      <c r="Y6" s="66">
        <v>20</v>
      </c>
      <c r="Z6" s="64">
        <v>9.8000000000000007</v>
      </c>
      <c r="AA6" s="67">
        <v>25</v>
      </c>
      <c r="AB6" s="61">
        <v>14.1</v>
      </c>
      <c r="AC6" s="61">
        <v>30</v>
      </c>
      <c r="AD6" s="68">
        <f>ROUND(TREND($AD7:AD$12,$B7:B$12,B6),1)</f>
        <v>11.7</v>
      </c>
      <c r="AE6" s="67">
        <v>20</v>
      </c>
      <c r="AF6" s="61">
        <v>10.8</v>
      </c>
      <c r="AG6" s="69">
        <v>25</v>
      </c>
      <c r="AH6" s="64">
        <v>8.8000000000000007</v>
      </c>
      <c r="AI6" s="67">
        <v>15</v>
      </c>
      <c r="AJ6" s="61">
        <v>11.8</v>
      </c>
      <c r="AK6" s="61">
        <v>20</v>
      </c>
      <c r="AL6" s="64">
        <v>10</v>
      </c>
      <c r="AM6" s="67">
        <v>25</v>
      </c>
      <c r="AN6" s="61">
        <v>12.5</v>
      </c>
      <c r="AO6" s="69">
        <v>30</v>
      </c>
      <c r="AP6" s="64">
        <v>11.4</v>
      </c>
      <c r="AQ6" s="67">
        <v>10</v>
      </c>
      <c r="AR6" s="70">
        <v>8.1</v>
      </c>
      <c r="AS6" s="61">
        <v>10</v>
      </c>
      <c r="AT6" s="64">
        <v>5.8</v>
      </c>
      <c r="AU6" s="65">
        <v>15</v>
      </c>
      <c r="AV6" s="66">
        <v>12.8</v>
      </c>
      <c r="AW6" s="66">
        <v>15</v>
      </c>
      <c r="AX6" s="68">
        <v>12</v>
      </c>
      <c r="AY6" s="65">
        <v>10</v>
      </c>
      <c r="AZ6" s="68">
        <v>12</v>
      </c>
      <c r="BA6" s="65">
        <v>20</v>
      </c>
      <c r="BB6" s="68">
        <v>10</v>
      </c>
      <c r="BC6" s="65">
        <v>10</v>
      </c>
      <c r="BD6" s="68">
        <v>11</v>
      </c>
      <c r="BE6" s="65">
        <v>10</v>
      </c>
      <c r="BF6" s="68">
        <v>4.5</v>
      </c>
    </row>
    <row r="7" spans="2:58">
      <c r="B7" s="59">
        <f>B6+4</f>
        <v>12</v>
      </c>
      <c r="C7" s="60">
        <v>25</v>
      </c>
      <c r="D7" s="61">
        <v>13</v>
      </c>
      <c r="E7" s="61">
        <v>35</v>
      </c>
      <c r="F7" s="62">
        <v>9.1</v>
      </c>
      <c r="G7" s="60">
        <v>25</v>
      </c>
      <c r="H7" s="61">
        <v>12.8</v>
      </c>
      <c r="I7" s="61">
        <v>30</v>
      </c>
      <c r="J7" s="62">
        <v>9.8000000000000007</v>
      </c>
      <c r="K7" s="63">
        <v>40</v>
      </c>
      <c r="L7" s="61">
        <v>13.3</v>
      </c>
      <c r="M7" s="61">
        <v>40</v>
      </c>
      <c r="N7" s="64">
        <v>11.3</v>
      </c>
      <c r="O7" s="65">
        <f t="shared" si="0"/>
        <v>20</v>
      </c>
      <c r="P7" s="61">
        <v>11</v>
      </c>
      <c r="Q7" s="66">
        <f t="shared" ref="Q7:Q16" si="1">O7+5</f>
        <v>25</v>
      </c>
      <c r="R7" s="64">
        <v>11</v>
      </c>
      <c r="S7" s="65">
        <v>30</v>
      </c>
      <c r="T7" s="61">
        <v>14</v>
      </c>
      <c r="U7" s="66">
        <v>30</v>
      </c>
      <c r="V7" s="64">
        <v>13.1</v>
      </c>
      <c r="W7" s="65">
        <v>25</v>
      </c>
      <c r="X7" s="61">
        <v>11.8</v>
      </c>
      <c r="Y7" s="66">
        <f t="shared" ref="Y7:Y15" si="2">W7+5</f>
        <v>30</v>
      </c>
      <c r="Z7" s="64">
        <v>11.8</v>
      </c>
      <c r="AA7" s="67">
        <v>30</v>
      </c>
      <c r="AB7" s="61">
        <v>16.100000000000001</v>
      </c>
      <c r="AC7" s="61">
        <v>35</v>
      </c>
      <c r="AD7" s="64">
        <v>12.3</v>
      </c>
      <c r="AE7" s="67">
        <v>30</v>
      </c>
      <c r="AF7" s="61">
        <v>15.1</v>
      </c>
      <c r="AG7" s="69">
        <v>30</v>
      </c>
      <c r="AH7" s="64">
        <v>13.3</v>
      </c>
      <c r="AI7" s="67">
        <v>20</v>
      </c>
      <c r="AJ7" s="61">
        <v>15.1</v>
      </c>
      <c r="AK7" s="61">
        <v>25</v>
      </c>
      <c r="AL7" s="64">
        <v>13</v>
      </c>
      <c r="AM7" s="67">
        <v>30</v>
      </c>
      <c r="AN7" s="61">
        <v>15.7</v>
      </c>
      <c r="AO7" s="69">
        <v>35</v>
      </c>
      <c r="AP7" s="64">
        <v>13.9</v>
      </c>
      <c r="AQ7" s="67">
        <v>15</v>
      </c>
      <c r="AR7" s="70">
        <v>12.8</v>
      </c>
      <c r="AS7" s="61">
        <v>15</v>
      </c>
      <c r="AT7" s="64">
        <v>9.8000000000000007</v>
      </c>
      <c r="AU7" s="65">
        <v>20</v>
      </c>
      <c r="AV7" s="66">
        <v>16.100000000000001</v>
      </c>
      <c r="AW7" s="66">
        <v>20</v>
      </c>
      <c r="AX7" s="68">
        <v>15</v>
      </c>
      <c r="AY7" s="65">
        <v>15</v>
      </c>
      <c r="AZ7" s="68">
        <v>16</v>
      </c>
      <c r="BA7" s="65">
        <v>25</v>
      </c>
      <c r="BB7" s="68">
        <v>12</v>
      </c>
      <c r="BC7" s="65">
        <v>15</v>
      </c>
      <c r="BD7" s="68">
        <v>12.3</v>
      </c>
      <c r="BE7" s="65">
        <v>15</v>
      </c>
      <c r="BF7" s="68">
        <v>4.8</v>
      </c>
    </row>
    <row r="8" spans="2:58">
      <c r="B8" s="59">
        <f>B7+4</f>
        <v>16</v>
      </c>
      <c r="C8" s="60">
        <v>35</v>
      </c>
      <c r="D8" s="61">
        <v>16.2</v>
      </c>
      <c r="E8" s="61">
        <v>40</v>
      </c>
      <c r="F8" s="62">
        <v>12.3</v>
      </c>
      <c r="G8" s="60">
        <v>35</v>
      </c>
      <c r="H8" s="61">
        <v>16.100000000000001</v>
      </c>
      <c r="I8" s="61">
        <v>40</v>
      </c>
      <c r="J8" s="62">
        <v>12.8</v>
      </c>
      <c r="K8" s="63">
        <v>50</v>
      </c>
      <c r="L8" s="61">
        <v>15.8</v>
      </c>
      <c r="M8" s="61">
        <v>50</v>
      </c>
      <c r="N8" s="64">
        <v>13.1</v>
      </c>
      <c r="O8" s="65">
        <f t="shared" si="0"/>
        <v>25</v>
      </c>
      <c r="P8" s="61">
        <v>13.5</v>
      </c>
      <c r="Q8" s="66">
        <f t="shared" si="1"/>
        <v>30</v>
      </c>
      <c r="R8" s="64">
        <v>13.5</v>
      </c>
      <c r="S8" s="65">
        <v>35</v>
      </c>
      <c r="T8" s="61">
        <v>16</v>
      </c>
      <c r="U8" s="66">
        <v>40</v>
      </c>
      <c r="V8" s="64">
        <v>14.6</v>
      </c>
      <c r="W8" s="65">
        <v>30</v>
      </c>
      <c r="X8" s="61">
        <v>13.8</v>
      </c>
      <c r="Y8" s="66">
        <f t="shared" si="2"/>
        <v>35</v>
      </c>
      <c r="Z8" s="64">
        <v>13.8</v>
      </c>
      <c r="AA8" s="67">
        <v>35</v>
      </c>
      <c r="AB8" s="61">
        <v>18.100000000000001</v>
      </c>
      <c r="AC8" s="61">
        <v>40</v>
      </c>
      <c r="AD8" s="64">
        <v>14.3</v>
      </c>
      <c r="AE8" s="67">
        <v>35</v>
      </c>
      <c r="AF8" s="61">
        <v>17.600000000000001</v>
      </c>
      <c r="AG8" s="69">
        <v>40</v>
      </c>
      <c r="AH8" s="64">
        <v>14.8</v>
      </c>
      <c r="AI8" s="67">
        <v>25</v>
      </c>
      <c r="AJ8" s="61">
        <v>17.3</v>
      </c>
      <c r="AK8" s="61">
        <v>30</v>
      </c>
      <c r="AL8" s="64">
        <v>15</v>
      </c>
      <c r="AM8" s="67">
        <v>35</v>
      </c>
      <c r="AN8" s="61">
        <v>18.3</v>
      </c>
      <c r="AO8" s="69">
        <v>40</v>
      </c>
      <c r="AP8" s="64">
        <v>15.7</v>
      </c>
      <c r="AQ8" s="67">
        <v>20</v>
      </c>
      <c r="AR8" s="70">
        <v>16.100000000000001</v>
      </c>
      <c r="AS8" s="61">
        <v>20</v>
      </c>
      <c r="AT8" s="64">
        <v>12.8</v>
      </c>
      <c r="AU8" s="65">
        <v>25</v>
      </c>
      <c r="AV8" s="66">
        <v>18.3</v>
      </c>
      <c r="AW8" s="66">
        <v>25</v>
      </c>
      <c r="AX8" s="68">
        <v>17</v>
      </c>
      <c r="AY8" s="67">
        <v>20</v>
      </c>
      <c r="AZ8" s="64">
        <v>18</v>
      </c>
      <c r="BA8" s="65">
        <v>30</v>
      </c>
      <c r="BB8" s="68">
        <v>12.5</v>
      </c>
      <c r="BC8" s="65">
        <v>20</v>
      </c>
      <c r="BD8" s="68">
        <v>14</v>
      </c>
      <c r="BE8" s="65">
        <v>20</v>
      </c>
      <c r="BF8" s="68">
        <v>5</v>
      </c>
    </row>
    <row r="9" spans="2:58">
      <c r="B9" s="59">
        <f t="shared" ref="B9:B18" si="3">B8+4</f>
        <v>20</v>
      </c>
      <c r="C9" s="60">
        <v>45</v>
      </c>
      <c r="D9" s="61">
        <v>19</v>
      </c>
      <c r="E9" s="61">
        <v>50</v>
      </c>
      <c r="F9" s="62">
        <v>14.1</v>
      </c>
      <c r="G9" s="60">
        <v>40</v>
      </c>
      <c r="H9" s="61">
        <v>19.100000000000001</v>
      </c>
      <c r="I9" s="61">
        <v>45</v>
      </c>
      <c r="J9" s="62">
        <v>15</v>
      </c>
      <c r="K9" s="63">
        <v>60</v>
      </c>
      <c r="L9" s="61">
        <v>17.8</v>
      </c>
      <c r="M9" s="61">
        <v>65</v>
      </c>
      <c r="N9" s="64">
        <v>14.3</v>
      </c>
      <c r="O9" s="65">
        <f t="shared" si="0"/>
        <v>30</v>
      </c>
      <c r="P9" s="61">
        <v>16</v>
      </c>
      <c r="Q9" s="66">
        <f t="shared" si="1"/>
        <v>35</v>
      </c>
      <c r="R9" s="64">
        <v>16</v>
      </c>
      <c r="S9" s="65">
        <v>40</v>
      </c>
      <c r="T9" s="61">
        <v>17.5</v>
      </c>
      <c r="U9" s="66">
        <v>45</v>
      </c>
      <c r="V9" s="64">
        <v>16.100000000000001</v>
      </c>
      <c r="W9" s="65">
        <v>30</v>
      </c>
      <c r="X9" s="61">
        <v>15.8</v>
      </c>
      <c r="Y9" s="66">
        <v>40</v>
      </c>
      <c r="Z9" s="64">
        <v>15.8</v>
      </c>
      <c r="AA9" s="67">
        <v>40</v>
      </c>
      <c r="AB9" s="61">
        <v>20.100000000000001</v>
      </c>
      <c r="AC9" s="61">
        <v>45</v>
      </c>
      <c r="AD9" s="64">
        <v>16.3</v>
      </c>
      <c r="AE9" s="67">
        <v>40</v>
      </c>
      <c r="AF9" s="61">
        <v>19.3</v>
      </c>
      <c r="AG9" s="69">
        <v>45</v>
      </c>
      <c r="AH9" s="64">
        <v>16.5</v>
      </c>
      <c r="AI9" s="67">
        <v>30</v>
      </c>
      <c r="AJ9" s="61">
        <v>19.3</v>
      </c>
      <c r="AK9" s="61">
        <v>35</v>
      </c>
      <c r="AL9" s="64">
        <v>17</v>
      </c>
      <c r="AM9" s="67">
        <v>40</v>
      </c>
      <c r="AN9" s="61">
        <v>20.3</v>
      </c>
      <c r="AO9" s="69">
        <v>45</v>
      </c>
      <c r="AP9" s="64">
        <v>16.5</v>
      </c>
      <c r="AQ9" s="67">
        <v>30</v>
      </c>
      <c r="AR9" s="70">
        <v>19.100000000000001</v>
      </c>
      <c r="AS9" s="61">
        <v>25</v>
      </c>
      <c r="AT9" s="64">
        <v>15</v>
      </c>
      <c r="AU9" s="65">
        <v>25</v>
      </c>
      <c r="AV9" s="66">
        <v>20.3</v>
      </c>
      <c r="AW9" s="66">
        <v>30</v>
      </c>
      <c r="AX9" s="68">
        <v>19</v>
      </c>
      <c r="AY9" s="65">
        <v>30</v>
      </c>
      <c r="AZ9" s="68">
        <v>19.5</v>
      </c>
      <c r="BA9" s="65">
        <v>35</v>
      </c>
      <c r="BB9" s="68">
        <v>13</v>
      </c>
      <c r="BC9" s="65">
        <v>25</v>
      </c>
      <c r="BD9" s="68">
        <v>16.5</v>
      </c>
      <c r="BE9" s="65">
        <v>25</v>
      </c>
      <c r="BF9" s="68">
        <v>5.2</v>
      </c>
    </row>
    <row r="10" spans="2:58">
      <c r="B10" s="59">
        <f t="shared" si="3"/>
        <v>24</v>
      </c>
      <c r="C10" s="60">
        <v>50</v>
      </c>
      <c r="D10" s="61">
        <v>21</v>
      </c>
      <c r="E10" s="61">
        <v>55</v>
      </c>
      <c r="F10" s="62">
        <v>15.3</v>
      </c>
      <c r="G10" s="60">
        <v>45</v>
      </c>
      <c r="H10" s="61">
        <v>21.1</v>
      </c>
      <c r="I10" s="61">
        <v>50</v>
      </c>
      <c r="J10" s="62">
        <v>17</v>
      </c>
      <c r="K10" s="63">
        <v>70</v>
      </c>
      <c r="L10" s="61">
        <v>19.600000000000001</v>
      </c>
      <c r="M10" s="61">
        <v>70</v>
      </c>
      <c r="N10" s="64">
        <v>15.3</v>
      </c>
      <c r="O10" s="65">
        <f t="shared" si="0"/>
        <v>40</v>
      </c>
      <c r="P10" s="61">
        <v>18</v>
      </c>
      <c r="Q10" s="66">
        <f t="shared" si="1"/>
        <v>45</v>
      </c>
      <c r="R10" s="64">
        <v>18</v>
      </c>
      <c r="S10" s="65">
        <v>50</v>
      </c>
      <c r="T10" s="61">
        <v>19</v>
      </c>
      <c r="U10" s="66">
        <v>50</v>
      </c>
      <c r="V10" s="64">
        <v>17.600000000000001</v>
      </c>
      <c r="W10" s="65">
        <v>40</v>
      </c>
      <c r="X10" s="61">
        <v>16</v>
      </c>
      <c r="Y10" s="66">
        <f t="shared" si="2"/>
        <v>45</v>
      </c>
      <c r="Z10" s="64">
        <v>16</v>
      </c>
      <c r="AA10" s="67">
        <v>45</v>
      </c>
      <c r="AB10" s="61">
        <v>21.1</v>
      </c>
      <c r="AC10" s="61">
        <v>50</v>
      </c>
      <c r="AD10" s="64">
        <v>17.100000000000001</v>
      </c>
      <c r="AE10" s="67">
        <v>50</v>
      </c>
      <c r="AF10" s="61">
        <v>20.3</v>
      </c>
      <c r="AG10" s="69">
        <v>50</v>
      </c>
      <c r="AH10" s="64">
        <v>17</v>
      </c>
      <c r="AI10" s="67">
        <v>30</v>
      </c>
      <c r="AJ10" s="61">
        <v>21.1</v>
      </c>
      <c r="AK10" s="61">
        <v>40</v>
      </c>
      <c r="AL10" s="64">
        <v>19</v>
      </c>
      <c r="AM10" s="67">
        <v>45</v>
      </c>
      <c r="AN10" s="61">
        <v>21.5</v>
      </c>
      <c r="AO10" s="69">
        <v>50</v>
      </c>
      <c r="AP10" s="64">
        <v>17.399999999999999</v>
      </c>
      <c r="AQ10" s="67">
        <v>30</v>
      </c>
      <c r="AR10" s="70">
        <v>21.1</v>
      </c>
      <c r="AS10" s="61">
        <v>30</v>
      </c>
      <c r="AT10" s="64">
        <v>17</v>
      </c>
      <c r="AU10" s="65">
        <v>30</v>
      </c>
      <c r="AV10" s="66">
        <v>22.1</v>
      </c>
      <c r="AW10" s="66">
        <v>35</v>
      </c>
      <c r="AX10" s="68">
        <v>21</v>
      </c>
      <c r="AY10" s="65">
        <v>30</v>
      </c>
      <c r="AZ10" s="68">
        <v>20.3</v>
      </c>
      <c r="BA10" s="65">
        <v>40</v>
      </c>
      <c r="BB10" s="68">
        <v>14</v>
      </c>
      <c r="BC10" s="65">
        <v>30</v>
      </c>
      <c r="BD10" s="68">
        <v>17.399999999999999</v>
      </c>
      <c r="BE10" s="65">
        <v>30</v>
      </c>
      <c r="BF10" s="68">
        <v>5.5</v>
      </c>
    </row>
    <row r="11" spans="2:58">
      <c r="B11" s="59">
        <f t="shared" si="3"/>
        <v>28</v>
      </c>
      <c r="C11" s="60">
        <v>55</v>
      </c>
      <c r="D11" s="61">
        <v>22.3</v>
      </c>
      <c r="E11" s="61">
        <v>60</v>
      </c>
      <c r="F11" s="62">
        <v>16.3</v>
      </c>
      <c r="G11" s="60">
        <v>50</v>
      </c>
      <c r="H11" s="61">
        <v>23.1</v>
      </c>
      <c r="I11" s="61">
        <v>60</v>
      </c>
      <c r="J11" s="62">
        <v>19</v>
      </c>
      <c r="K11" s="63">
        <v>70</v>
      </c>
      <c r="L11" s="61">
        <v>20.8</v>
      </c>
      <c r="M11" s="61">
        <v>75</v>
      </c>
      <c r="N11" s="64">
        <v>16.3</v>
      </c>
      <c r="O11" s="65">
        <f t="shared" si="0"/>
        <v>45</v>
      </c>
      <c r="P11" s="61">
        <v>19.8</v>
      </c>
      <c r="Q11" s="66">
        <f t="shared" si="1"/>
        <v>50</v>
      </c>
      <c r="R11" s="64">
        <v>19.8</v>
      </c>
      <c r="S11" s="65">
        <v>55</v>
      </c>
      <c r="T11" s="61">
        <v>20.5</v>
      </c>
      <c r="U11" s="66">
        <v>55</v>
      </c>
      <c r="V11" s="64">
        <v>19.100000000000001</v>
      </c>
      <c r="W11" s="65">
        <v>45</v>
      </c>
      <c r="X11" s="61">
        <v>16.8</v>
      </c>
      <c r="Y11" s="66">
        <f t="shared" si="2"/>
        <v>50</v>
      </c>
      <c r="Z11" s="64">
        <v>16.8</v>
      </c>
      <c r="AA11" s="67">
        <v>50</v>
      </c>
      <c r="AB11" s="61">
        <v>22.1</v>
      </c>
      <c r="AC11" s="61">
        <v>55</v>
      </c>
      <c r="AD11" s="64">
        <v>17.8</v>
      </c>
      <c r="AE11" s="67">
        <v>55</v>
      </c>
      <c r="AF11" s="61">
        <v>21.3</v>
      </c>
      <c r="AG11" s="69">
        <v>55</v>
      </c>
      <c r="AH11" s="64">
        <v>17.3</v>
      </c>
      <c r="AI11" s="67">
        <v>35</v>
      </c>
      <c r="AJ11" s="61">
        <v>22.1</v>
      </c>
      <c r="AK11" s="61">
        <v>45</v>
      </c>
      <c r="AL11" s="64">
        <v>20.100000000000001</v>
      </c>
      <c r="AM11" s="67">
        <v>50</v>
      </c>
      <c r="AN11" s="61">
        <v>22.3</v>
      </c>
      <c r="AO11" s="69">
        <v>55</v>
      </c>
      <c r="AP11" s="64">
        <v>18.100000000000001</v>
      </c>
      <c r="AQ11" s="67">
        <v>35</v>
      </c>
      <c r="AR11" s="70">
        <v>23.1</v>
      </c>
      <c r="AS11" s="61">
        <v>35</v>
      </c>
      <c r="AT11" s="64">
        <v>19</v>
      </c>
      <c r="AU11" s="65">
        <v>30</v>
      </c>
      <c r="AV11" s="66">
        <v>23.1</v>
      </c>
      <c r="AW11" s="66">
        <v>35</v>
      </c>
      <c r="AX11" s="68">
        <v>22.1</v>
      </c>
      <c r="AY11" s="65">
        <v>35</v>
      </c>
      <c r="AZ11" s="68">
        <v>21.3</v>
      </c>
      <c r="BA11" s="65">
        <v>45</v>
      </c>
      <c r="BB11" s="68">
        <v>14.3</v>
      </c>
      <c r="BC11" s="65">
        <v>35</v>
      </c>
      <c r="BD11" s="68">
        <v>18.100000000000001</v>
      </c>
      <c r="BE11" s="65">
        <v>35</v>
      </c>
      <c r="BF11" s="68">
        <v>6.1</v>
      </c>
    </row>
    <row r="12" spans="2:58">
      <c r="B12" s="59">
        <f t="shared" si="3"/>
        <v>32</v>
      </c>
      <c r="C12" s="60">
        <v>60</v>
      </c>
      <c r="D12" s="61">
        <v>23.3</v>
      </c>
      <c r="E12" s="61">
        <v>65</v>
      </c>
      <c r="F12" s="62">
        <v>17.3</v>
      </c>
      <c r="G12" s="60">
        <v>55</v>
      </c>
      <c r="H12" s="61">
        <v>24.8</v>
      </c>
      <c r="I12" s="61">
        <v>65</v>
      </c>
      <c r="J12" s="62">
        <v>20</v>
      </c>
      <c r="K12" s="63">
        <v>75</v>
      </c>
      <c r="L12" s="61">
        <v>22.3</v>
      </c>
      <c r="M12" s="61">
        <v>80</v>
      </c>
      <c r="N12" s="64">
        <v>17.100000000000001</v>
      </c>
      <c r="O12" s="65">
        <f>CEILING(B12*1.6,5)</f>
        <v>55</v>
      </c>
      <c r="P12" s="61">
        <v>21</v>
      </c>
      <c r="Q12" s="66">
        <f t="shared" si="1"/>
        <v>60</v>
      </c>
      <c r="R12" s="64">
        <v>21</v>
      </c>
      <c r="S12" s="65">
        <v>60</v>
      </c>
      <c r="T12" s="61">
        <v>21.5</v>
      </c>
      <c r="U12" s="66">
        <v>65</v>
      </c>
      <c r="V12" s="64">
        <v>20.100000000000001</v>
      </c>
      <c r="W12" s="65">
        <v>55</v>
      </c>
      <c r="X12" s="61">
        <v>17</v>
      </c>
      <c r="Y12" s="66">
        <f t="shared" si="2"/>
        <v>60</v>
      </c>
      <c r="Z12" s="64">
        <v>17</v>
      </c>
      <c r="AA12" s="67">
        <v>50</v>
      </c>
      <c r="AB12" s="61">
        <v>23.3</v>
      </c>
      <c r="AC12" s="61">
        <v>60</v>
      </c>
      <c r="AD12" s="64">
        <v>19</v>
      </c>
      <c r="AE12" s="67">
        <v>60</v>
      </c>
      <c r="AF12" s="61">
        <v>22.1</v>
      </c>
      <c r="AG12" s="69">
        <v>65</v>
      </c>
      <c r="AH12" s="64">
        <v>17.3</v>
      </c>
      <c r="AI12" s="67">
        <v>35</v>
      </c>
      <c r="AJ12" s="61">
        <v>23.3</v>
      </c>
      <c r="AK12" s="61">
        <v>50</v>
      </c>
      <c r="AL12" s="64">
        <v>21</v>
      </c>
      <c r="AM12" s="67">
        <v>55</v>
      </c>
      <c r="AN12" s="61">
        <v>22.8</v>
      </c>
      <c r="AO12" s="69">
        <v>60</v>
      </c>
      <c r="AP12" s="64">
        <v>18.399999999999999</v>
      </c>
      <c r="AQ12" s="67">
        <v>40</v>
      </c>
      <c r="AR12" s="70">
        <v>24.8</v>
      </c>
      <c r="AS12" s="61">
        <v>35</v>
      </c>
      <c r="AT12" s="64">
        <v>20</v>
      </c>
      <c r="AU12" s="65">
        <v>35</v>
      </c>
      <c r="AV12" s="66">
        <v>24.3</v>
      </c>
      <c r="AW12" s="66">
        <v>40</v>
      </c>
      <c r="AX12" s="68">
        <v>23</v>
      </c>
      <c r="AY12" s="65">
        <v>35</v>
      </c>
      <c r="AZ12" s="68">
        <v>22.1</v>
      </c>
      <c r="BA12" s="65">
        <v>50</v>
      </c>
      <c r="BB12" s="68">
        <v>14.6</v>
      </c>
      <c r="BC12" s="65">
        <v>35</v>
      </c>
      <c r="BD12" s="68">
        <v>18.399999999999999</v>
      </c>
      <c r="BE12" s="65">
        <v>35</v>
      </c>
      <c r="BF12" s="68">
        <v>6.2</v>
      </c>
    </row>
    <row r="13" spans="2:58">
      <c r="B13" s="59">
        <f t="shared" si="3"/>
        <v>36</v>
      </c>
      <c r="C13" s="60">
        <v>65</v>
      </c>
      <c r="D13" s="61">
        <v>24</v>
      </c>
      <c r="E13" s="61">
        <v>70</v>
      </c>
      <c r="F13" s="62">
        <v>17.600000000000001</v>
      </c>
      <c r="G13" s="60">
        <v>60</v>
      </c>
      <c r="H13" s="61">
        <v>25.8</v>
      </c>
      <c r="I13" s="61">
        <v>70</v>
      </c>
      <c r="J13" s="62">
        <v>21</v>
      </c>
      <c r="K13" s="71">
        <f>CEILING(B13*2,5)</f>
        <v>75</v>
      </c>
      <c r="L13" s="61">
        <v>23.3</v>
      </c>
      <c r="M13" s="66">
        <f>CEILING(B13*2,10)+10</f>
        <v>90</v>
      </c>
      <c r="N13" s="64">
        <v>17.8</v>
      </c>
      <c r="O13" s="65">
        <f>CEILING(B13*1.6,5)</f>
        <v>60</v>
      </c>
      <c r="P13" s="61">
        <v>22</v>
      </c>
      <c r="Q13" s="66">
        <f t="shared" si="1"/>
        <v>65</v>
      </c>
      <c r="R13" s="64">
        <v>22</v>
      </c>
      <c r="S13" s="65">
        <v>65</v>
      </c>
      <c r="T13" s="61">
        <v>23</v>
      </c>
      <c r="U13" s="66">
        <v>70</v>
      </c>
      <c r="V13" s="64">
        <v>21.1</v>
      </c>
      <c r="W13" s="65">
        <v>60</v>
      </c>
      <c r="X13" s="61">
        <v>17.3</v>
      </c>
      <c r="Y13" s="66">
        <f t="shared" si="2"/>
        <v>65</v>
      </c>
      <c r="Z13" s="64">
        <v>17.3</v>
      </c>
      <c r="AA13" s="67">
        <v>55</v>
      </c>
      <c r="AB13" s="61">
        <v>24.3</v>
      </c>
      <c r="AC13" s="61">
        <v>65</v>
      </c>
      <c r="AD13" s="64">
        <v>20</v>
      </c>
      <c r="AE13" s="67">
        <v>65</v>
      </c>
      <c r="AF13" s="61">
        <v>22.3</v>
      </c>
      <c r="AG13" s="69">
        <v>70</v>
      </c>
      <c r="AH13" s="64">
        <v>17.3</v>
      </c>
      <c r="AI13" s="67">
        <v>40</v>
      </c>
      <c r="AJ13" s="61">
        <v>24.3</v>
      </c>
      <c r="AK13" s="61">
        <v>55</v>
      </c>
      <c r="AL13" s="64">
        <v>22</v>
      </c>
      <c r="AM13" s="67">
        <v>60</v>
      </c>
      <c r="AN13" s="61">
        <v>23.1</v>
      </c>
      <c r="AO13" s="69">
        <v>65</v>
      </c>
      <c r="AP13" s="64">
        <v>18.600000000000001</v>
      </c>
      <c r="AQ13" s="67">
        <v>40</v>
      </c>
      <c r="AR13" s="70">
        <v>25.8</v>
      </c>
      <c r="AS13" s="61">
        <v>40</v>
      </c>
      <c r="AT13" s="64">
        <v>21</v>
      </c>
      <c r="AU13" s="65">
        <v>35</v>
      </c>
      <c r="AV13" s="66">
        <v>25.3</v>
      </c>
      <c r="AW13" s="66">
        <v>40</v>
      </c>
      <c r="AX13" s="68">
        <v>24</v>
      </c>
      <c r="AY13" s="65">
        <v>40</v>
      </c>
      <c r="AZ13" s="68">
        <v>22.3</v>
      </c>
      <c r="BA13" s="65">
        <v>55</v>
      </c>
      <c r="BB13" s="68">
        <v>14.9</v>
      </c>
      <c r="BC13" s="65">
        <v>40</v>
      </c>
      <c r="BD13" s="68">
        <v>18.600000000000001</v>
      </c>
      <c r="BE13" s="65">
        <v>40</v>
      </c>
      <c r="BF13" s="68">
        <v>6.5</v>
      </c>
    </row>
    <row r="14" spans="2:58">
      <c r="B14" s="59">
        <f t="shared" si="3"/>
        <v>40</v>
      </c>
      <c r="C14" s="60">
        <v>70</v>
      </c>
      <c r="D14" s="61">
        <v>24.8</v>
      </c>
      <c r="E14" s="61">
        <v>70</v>
      </c>
      <c r="F14" s="62">
        <v>18.8</v>
      </c>
      <c r="G14" s="60">
        <v>60</v>
      </c>
      <c r="H14" s="61">
        <v>26.8</v>
      </c>
      <c r="I14" s="61">
        <v>70</v>
      </c>
      <c r="J14" s="62">
        <v>22</v>
      </c>
      <c r="K14" s="71">
        <f>CEILING(B14*2,5)</f>
        <v>80</v>
      </c>
      <c r="L14" s="61">
        <v>24.1</v>
      </c>
      <c r="M14" s="66">
        <f>CEILING(B14*2,10)+10</f>
        <v>90</v>
      </c>
      <c r="N14" s="64">
        <v>18.3</v>
      </c>
      <c r="O14" s="65">
        <f>CEILING(B14*1.6,5)</f>
        <v>65</v>
      </c>
      <c r="P14" s="61">
        <v>23</v>
      </c>
      <c r="Q14" s="66">
        <f t="shared" si="1"/>
        <v>70</v>
      </c>
      <c r="R14" s="64">
        <v>23</v>
      </c>
      <c r="S14" s="65">
        <v>70</v>
      </c>
      <c r="T14" s="61">
        <v>24</v>
      </c>
      <c r="U14" s="66">
        <v>75</v>
      </c>
      <c r="V14" s="64">
        <v>21.6</v>
      </c>
      <c r="W14" s="65">
        <v>65</v>
      </c>
      <c r="X14" s="61">
        <v>18</v>
      </c>
      <c r="Y14" s="66">
        <f t="shared" si="2"/>
        <v>70</v>
      </c>
      <c r="Z14" s="64">
        <v>18</v>
      </c>
      <c r="AA14" s="67">
        <v>60</v>
      </c>
      <c r="AB14" s="61">
        <v>25.3</v>
      </c>
      <c r="AC14" s="61">
        <v>70</v>
      </c>
      <c r="AD14" s="64">
        <v>21</v>
      </c>
      <c r="AE14" s="67">
        <v>70</v>
      </c>
      <c r="AF14" s="61">
        <v>22.3</v>
      </c>
      <c r="AG14" s="69">
        <v>75</v>
      </c>
      <c r="AH14" s="64">
        <v>18</v>
      </c>
      <c r="AI14" s="67">
        <v>40</v>
      </c>
      <c r="AJ14" s="61">
        <v>24.8</v>
      </c>
      <c r="AK14" s="61">
        <v>55</v>
      </c>
      <c r="AL14" s="64">
        <v>22.3</v>
      </c>
      <c r="AM14" s="67">
        <v>65</v>
      </c>
      <c r="AN14" s="61">
        <v>23.2</v>
      </c>
      <c r="AO14" s="69">
        <v>70</v>
      </c>
      <c r="AP14" s="64">
        <v>18.7</v>
      </c>
      <c r="AQ14" s="67">
        <v>45</v>
      </c>
      <c r="AR14" s="70">
        <v>26.8</v>
      </c>
      <c r="AS14" s="61">
        <v>40</v>
      </c>
      <c r="AT14" s="64">
        <v>22</v>
      </c>
      <c r="AU14" s="65">
        <v>40</v>
      </c>
      <c r="AV14" s="66">
        <v>25.8</v>
      </c>
      <c r="AW14" s="66">
        <v>45</v>
      </c>
      <c r="AX14" s="68">
        <v>23.3</v>
      </c>
      <c r="AY14" s="65">
        <v>40</v>
      </c>
      <c r="AZ14" s="68">
        <v>22.5</v>
      </c>
      <c r="BA14" s="65">
        <v>55</v>
      </c>
      <c r="BB14" s="68">
        <v>15</v>
      </c>
      <c r="BC14" s="65">
        <v>40</v>
      </c>
      <c r="BD14" s="68">
        <v>18.7</v>
      </c>
      <c r="BE14" s="65">
        <v>40</v>
      </c>
      <c r="BF14" s="68">
        <v>6.8</v>
      </c>
    </row>
    <row r="15" spans="2:58">
      <c r="B15" s="59">
        <f t="shared" si="3"/>
        <v>44</v>
      </c>
      <c r="C15" s="60">
        <v>75</v>
      </c>
      <c r="D15" s="61">
        <v>25.1</v>
      </c>
      <c r="E15" s="61">
        <v>75</v>
      </c>
      <c r="F15" s="62">
        <v>18.8</v>
      </c>
      <c r="G15" s="60">
        <v>65</v>
      </c>
      <c r="H15" s="61">
        <v>27.8</v>
      </c>
      <c r="I15" s="61">
        <v>75</v>
      </c>
      <c r="J15" s="62">
        <v>22</v>
      </c>
      <c r="K15" s="71">
        <f>CEILING(B15*2,5)</f>
        <v>90</v>
      </c>
      <c r="L15" s="61">
        <v>24.8</v>
      </c>
      <c r="M15" s="66">
        <f>CEILING(B15*2,10)+10</f>
        <v>100</v>
      </c>
      <c r="N15" s="64">
        <v>18.600000000000001</v>
      </c>
      <c r="O15" s="65">
        <f>CEILING(B15*1.7,5)</f>
        <v>75</v>
      </c>
      <c r="P15" s="61">
        <v>23.5</v>
      </c>
      <c r="Q15" s="66">
        <f t="shared" si="1"/>
        <v>80</v>
      </c>
      <c r="R15" s="64">
        <v>23.5</v>
      </c>
      <c r="S15" s="65">
        <v>75</v>
      </c>
      <c r="T15" s="61">
        <v>24.5</v>
      </c>
      <c r="U15" s="66">
        <v>80</v>
      </c>
      <c r="V15" s="64">
        <v>22.1</v>
      </c>
      <c r="W15" s="65">
        <v>75</v>
      </c>
      <c r="X15" s="61">
        <v>18</v>
      </c>
      <c r="Y15" s="66">
        <f t="shared" si="2"/>
        <v>80</v>
      </c>
      <c r="Z15" s="64">
        <v>18</v>
      </c>
      <c r="AA15" s="67">
        <v>65</v>
      </c>
      <c r="AB15" s="61">
        <v>26.3</v>
      </c>
      <c r="AC15" s="61">
        <v>80</v>
      </c>
      <c r="AD15" s="64">
        <v>21.5</v>
      </c>
      <c r="AE15" s="67">
        <v>75</v>
      </c>
      <c r="AF15" s="61">
        <v>22.8</v>
      </c>
      <c r="AG15" s="69">
        <v>80</v>
      </c>
      <c r="AH15" s="64">
        <v>18</v>
      </c>
      <c r="AI15" s="67">
        <v>45</v>
      </c>
      <c r="AJ15" s="61">
        <v>25.4</v>
      </c>
      <c r="AK15" s="61">
        <v>60</v>
      </c>
      <c r="AL15" s="64">
        <v>22.5</v>
      </c>
      <c r="AM15" s="67">
        <v>70</v>
      </c>
      <c r="AN15" s="61">
        <v>23.3</v>
      </c>
      <c r="AO15" s="69">
        <v>80</v>
      </c>
      <c r="AP15" s="64">
        <v>18.8</v>
      </c>
      <c r="AQ15" s="67">
        <v>50</v>
      </c>
      <c r="AR15" s="70">
        <v>27.8</v>
      </c>
      <c r="AS15" s="61">
        <v>45</v>
      </c>
      <c r="AT15" s="64">
        <v>22</v>
      </c>
      <c r="AU15" s="65">
        <v>40</v>
      </c>
      <c r="AV15" s="66">
        <v>26.4</v>
      </c>
      <c r="AW15" s="66">
        <v>45</v>
      </c>
      <c r="AX15" s="68">
        <v>23.5</v>
      </c>
      <c r="AY15" s="65">
        <v>45</v>
      </c>
      <c r="AZ15" s="68">
        <v>22.8</v>
      </c>
      <c r="BA15" s="65">
        <v>60</v>
      </c>
      <c r="BB15" s="68">
        <v>15.2</v>
      </c>
      <c r="BC15" s="65">
        <v>45</v>
      </c>
      <c r="BD15" s="68">
        <v>18.8</v>
      </c>
      <c r="BE15" s="65">
        <v>45</v>
      </c>
      <c r="BF15" s="68">
        <v>6.8</v>
      </c>
    </row>
    <row r="16" spans="2:58">
      <c r="B16" s="59">
        <f t="shared" si="3"/>
        <v>48</v>
      </c>
      <c r="C16" s="60">
        <v>75</v>
      </c>
      <c r="D16" s="61">
        <v>25.3</v>
      </c>
      <c r="E16" s="61">
        <v>75</v>
      </c>
      <c r="F16" s="62">
        <v>18.8</v>
      </c>
      <c r="G16" s="60">
        <v>70</v>
      </c>
      <c r="H16" s="61">
        <v>28.8</v>
      </c>
      <c r="I16" s="61">
        <v>75</v>
      </c>
      <c r="J16" s="62">
        <v>22.5</v>
      </c>
      <c r="K16" s="71">
        <f>CEILING(B16*2,10)</f>
        <v>100</v>
      </c>
      <c r="L16" s="61">
        <v>25.3</v>
      </c>
      <c r="M16" s="66">
        <f>CEILING(B16*1.8,10)+10</f>
        <v>100</v>
      </c>
      <c r="N16" s="64">
        <v>18.8</v>
      </c>
      <c r="O16" s="65">
        <f>CEILING(B16*1.7,5)</f>
        <v>85</v>
      </c>
      <c r="P16" s="61">
        <v>24</v>
      </c>
      <c r="Q16" s="66">
        <f t="shared" si="1"/>
        <v>90</v>
      </c>
      <c r="R16" s="64">
        <v>24</v>
      </c>
      <c r="S16" s="65">
        <v>85</v>
      </c>
      <c r="T16" s="61">
        <v>25</v>
      </c>
      <c r="U16" s="66">
        <v>90</v>
      </c>
      <c r="V16" s="64">
        <v>22.6</v>
      </c>
      <c r="W16" s="65">
        <v>85</v>
      </c>
      <c r="X16" s="61">
        <v>18.3</v>
      </c>
      <c r="Y16" s="66">
        <f>W16+10</f>
        <v>95</v>
      </c>
      <c r="Z16" s="64">
        <v>18.3</v>
      </c>
      <c r="AA16" s="67">
        <v>70</v>
      </c>
      <c r="AB16" s="61">
        <v>27.3</v>
      </c>
      <c r="AC16" s="61">
        <v>85</v>
      </c>
      <c r="AD16" s="68">
        <f>ROUND(TREND($AD$12:AD15,$B$12:B15,B16),1)</f>
        <v>22.5</v>
      </c>
      <c r="AE16" s="67">
        <v>85</v>
      </c>
      <c r="AF16" s="61">
        <v>23.1</v>
      </c>
      <c r="AG16" s="69">
        <v>90</v>
      </c>
      <c r="AH16" s="64">
        <v>18</v>
      </c>
      <c r="AI16" s="67">
        <v>45</v>
      </c>
      <c r="AJ16" s="61">
        <v>25.6</v>
      </c>
      <c r="AK16" s="61">
        <v>60</v>
      </c>
      <c r="AL16" s="64">
        <v>22.5</v>
      </c>
      <c r="AM16" s="67">
        <v>80</v>
      </c>
      <c r="AN16" s="61">
        <v>23.4</v>
      </c>
      <c r="AO16" s="69">
        <v>90</v>
      </c>
      <c r="AP16" s="68">
        <f>ROUND(TREND(AP10:AP15,F10:F15,F16),1)</f>
        <v>18.899999999999999</v>
      </c>
      <c r="AQ16" s="67">
        <v>50</v>
      </c>
      <c r="AR16" s="70">
        <v>28.8</v>
      </c>
      <c r="AS16" s="61">
        <v>45</v>
      </c>
      <c r="AT16" s="64">
        <v>22.5</v>
      </c>
      <c r="AU16" s="65">
        <v>45</v>
      </c>
      <c r="AV16" s="66">
        <v>26.6</v>
      </c>
      <c r="AW16" s="66">
        <v>50</v>
      </c>
      <c r="AX16" s="68">
        <v>24.5</v>
      </c>
      <c r="AY16" s="65">
        <v>45</v>
      </c>
      <c r="AZ16" s="68">
        <v>23.1</v>
      </c>
      <c r="BA16" s="65">
        <v>60</v>
      </c>
      <c r="BB16" s="68">
        <v>15.3</v>
      </c>
      <c r="BC16" s="65">
        <v>45</v>
      </c>
      <c r="BD16" s="68">
        <v>18.899999999999999</v>
      </c>
      <c r="BE16" s="65">
        <v>45</v>
      </c>
      <c r="BF16" s="68">
        <v>7.1</v>
      </c>
    </row>
    <row r="17" spans="2:58">
      <c r="B17" s="59">
        <f t="shared" si="3"/>
        <v>52</v>
      </c>
      <c r="C17" s="60">
        <v>80</v>
      </c>
      <c r="D17" s="61">
        <v>25.3</v>
      </c>
      <c r="E17" s="61">
        <v>80</v>
      </c>
      <c r="F17" s="72">
        <f>ROUND(TREND(F10:F16,B10:B16,B17),1)</f>
        <v>20</v>
      </c>
      <c r="G17" s="60">
        <v>70</v>
      </c>
      <c r="H17" s="61">
        <v>29.1</v>
      </c>
      <c r="I17" s="61">
        <v>80</v>
      </c>
      <c r="J17" s="72">
        <f>ROUND(TREND($J$13:J16,$B$13:B16,B17),1)</f>
        <v>23</v>
      </c>
      <c r="K17" s="71">
        <f t="shared" ref="K17:K22" si="4">CEILING(B17*1.8,10)</f>
        <v>100</v>
      </c>
      <c r="L17" s="61">
        <v>25.6</v>
      </c>
      <c r="M17" s="66">
        <f>CEILING(B17*1.8,10)+10</f>
        <v>110</v>
      </c>
      <c r="N17" s="64">
        <v>19.100000000000001</v>
      </c>
      <c r="O17" s="65">
        <f t="shared" ref="O17:O26" si="5">CEILING(B17*1.7,10)</f>
        <v>90</v>
      </c>
      <c r="P17" s="61">
        <v>24</v>
      </c>
      <c r="Q17" s="66">
        <f>O17+10</f>
        <v>100</v>
      </c>
      <c r="R17" s="64">
        <v>24</v>
      </c>
      <c r="S17" s="65">
        <v>90</v>
      </c>
      <c r="T17" s="61">
        <v>25.5</v>
      </c>
      <c r="U17" s="66">
        <v>100</v>
      </c>
      <c r="V17" s="64">
        <v>22.6</v>
      </c>
      <c r="W17" s="65">
        <v>90</v>
      </c>
      <c r="X17" s="61">
        <v>18.3</v>
      </c>
      <c r="Y17" s="66">
        <f t="shared" ref="Y17:Y24" si="6">W17+10</f>
        <v>100</v>
      </c>
      <c r="Z17" s="64">
        <v>18.3</v>
      </c>
      <c r="AA17" s="67">
        <v>75</v>
      </c>
      <c r="AB17" s="61">
        <v>28.1</v>
      </c>
      <c r="AC17" s="61">
        <v>90</v>
      </c>
      <c r="AD17" s="68">
        <f>ROUND(TREND($AD$12:AD16,$B$12:B16,B17),1)</f>
        <v>23.4</v>
      </c>
      <c r="AE17" s="67">
        <v>90</v>
      </c>
      <c r="AF17" s="61">
        <v>23.3</v>
      </c>
      <c r="AG17" s="69">
        <v>100</v>
      </c>
      <c r="AH17" s="64">
        <v>18</v>
      </c>
      <c r="AI17" s="67">
        <v>50</v>
      </c>
      <c r="AJ17" s="61">
        <v>25.6</v>
      </c>
      <c r="AK17" s="61">
        <v>65</v>
      </c>
      <c r="AL17" s="68">
        <f>ROUND(TREND(AL11:AL16,B11:B16,B17),1)</f>
        <v>23.4</v>
      </c>
      <c r="AM17" s="67">
        <v>90</v>
      </c>
      <c r="AN17" s="61">
        <v>23.4</v>
      </c>
      <c r="AO17" s="69">
        <v>100</v>
      </c>
      <c r="AP17" s="68">
        <f>ROUND(TREND(AP11:AP16,F11:F16,F17),1)</f>
        <v>19.100000000000001</v>
      </c>
      <c r="AQ17" s="67">
        <v>55</v>
      </c>
      <c r="AR17" s="70">
        <v>29.1</v>
      </c>
      <c r="AS17" s="61">
        <v>50</v>
      </c>
      <c r="AT17" s="64">
        <v>23</v>
      </c>
      <c r="AU17" s="65">
        <v>45</v>
      </c>
      <c r="AV17" s="66">
        <v>27.2</v>
      </c>
      <c r="AW17" s="66">
        <v>50</v>
      </c>
      <c r="AX17" s="68">
        <v>25.4</v>
      </c>
      <c r="AY17" s="65">
        <v>50</v>
      </c>
      <c r="AZ17" s="68">
        <v>23.3</v>
      </c>
      <c r="BA17" s="65">
        <v>65</v>
      </c>
      <c r="BB17" s="68">
        <v>15.5</v>
      </c>
      <c r="BC17" s="65">
        <v>50</v>
      </c>
      <c r="BD17" s="68">
        <v>19.100000000000001</v>
      </c>
      <c r="BE17" s="65">
        <v>50</v>
      </c>
      <c r="BF17" s="68">
        <v>7.3</v>
      </c>
    </row>
    <row r="18" spans="2:58">
      <c r="B18" s="59">
        <f t="shared" si="3"/>
        <v>56</v>
      </c>
      <c r="C18" s="60">
        <v>80</v>
      </c>
      <c r="D18" s="61">
        <v>25.6</v>
      </c>
      <c r="E18" s="61">
        <v>80</v>
      </c>
      <c r="F18" s="72">
        <f t="shared" ref="F18:F29" si="7">ROUND(TREND(F11:F17,B11:B17,B18),1)</f>
        <v>20.399999999999999</v>
      </c>
      <c r="G18" s="60">
        <v>75</v>
      </c>
      <c r="H18" s="61">
        <v>30</v>
      </c>
      <c r="I18" s="61">
        <v>80</v>
      </c>
      <c r="J18" s="72">
        <f>ROUND(TREND($J$13:J17,$B$13:B17,B18),1)</f>
        <v>23.5</v>
      </c>
      <c r="K18" s="71">
        <f t="shared" si="4"/>
        <v>110</v>
      </c>
      <c r="L18" s="61">
        <v>25.8</v>
      </c>
      <c r="M18" s="66">
        <f>CEILING(B18*1.8,10)</f>
        <v>110</v>
      </c>
      <c r="N18" s="64">
        <v>19.100000000000001</v>
      </c>
      <c r="O18" s="65">
        <f t="shared" si="5"/>
        <v>100</v>
      </c>
      <c r="P18" s="61">
        <v>24.3</v>
      </c>
      <c r="Q18" s="66">
        <f t="shared" ref="Q18:Q29" si="8">O18+10</f>
        <v>110</v>
      </c>
      <c r="R18" s="64">
        <v>24.3</v>
      </c>
      <c r="S18" s="65">
        <v>100</v>
      </c>
      <c r="T18" s="61">
        <v>26</v>
      </c>
      <c r="U18" s="66">
        <v>110</v>
      </c>
      <c r="V18" s="64">
        <v>22.6</v>
      </c>
      <c r="W18" s="65">
        <v>100</v>
      </c>
      <c r="X18" s="61">
        <v>18.3</v>
      </c>
      <c r="Y18" s="66">
        <f t="shared" si="6"/>
        <v>110</v>
      </c>
      <c r="Z18" s="64">
        <v>18.3</v>
      </c>
      <c r="AA18" s="67">
        <v>80</v>
      </c>
      <c r="AB18" s="61">
        <v>29</v>
      </c>
      <c r="AC18" s="61">
        <v>95</v>
      </c>
      <c r="AD18" s="68">
        <f>ROUND(TREND($AD$12:AD17,$B$12:B17,B18),1)</f>
        <v>24.2</v>
      </c>
      <c r="AE18" s="67">
        <v>100</v>
      </c>
      <c r="AF18" s="61">
        <v>23.6</v>
      </c>
      <c r="AG18" s="69">
        <v>110</v>
      </c>
      <c r="AH18" s="68">
        <f>ROUND(TREND(AH12:AH17,B12:B17,B18),1)</f>
        <v>18.3</v>
      </c>
      <c r="AI18" s="67">
        <v>50</v>
      </c>
      <c r="AJ18" s="73">
        <f>ROUND(TREND(AJ10:AJ17,B10:B17,B18),1)</f>
        <v>27</v>
      </c>
      <c r="AK18" s="74">
        <v>65</v>
      </c>
      <c r="AL18" s="68">
        <f t="shared" ref="AL18:AL29" si="9">ROUND(TREND(AL12:AL17,B12:B17,B18),1)</f>
        <v>23.7</v>
      </c>
      <c r="AM18" s="67">
        <v>100</v>
      </c>
      <c r="AN18" s="73">
        <f>ROUND(TREND(AN10:AN17,F10:F17,F18),1)</f>
        <v>23.9</v>
      </c>
      <c r="AO18" s="75">
        <v>110</v>
      </c>
      <c r="AP18" s="68">
        <f t="shared" ref="AP18:AP29" si="10">ROUND(TREND(AP12:AP17,F12:F17,F18),1)</f>
        <v>19.2</v>
      </c>
      <c r="AQ18" s="67">
        <v>60</v>
      </c>
      <c r="AR18" s="70">
        <v>30</v>
      </c>
      <c r="AS18" s="61">
        <v>55</v>
      </c>
      <c r="AT18" s="64">
        <v>23.5</v>
      </c>
      <c r="AU18" s="65">
        <v>50</v>
      </c>
      <c r="AV18" s="73">
        <v>28</v>
      </c>
      <c r="AW18" s="73">
        <v>60</v>
      </c>
      <c r="AX18" s="68">
        <v>25.7</v>
      </c>
      <c r="AY18" s="65">
        <v>50</v>
      </c>
      <c r="AZ18" s="68">
        <v>23.6</v>
      </c>
      <c r="BA18" s="76">
        <v>65</v>
      </c>
      <c r="BB18" s="68">
        <v>15.8</v>
      </c>
      <c r="BC18" s="76">
        <v>50</v>
      </c>
      <c r="BD18" s="68">
        <v>19.2</v>
      </c>
      <c r="BE18" s="76">
        <v>50</v>
      </c>
      <c r="BF18" s="68">
        <v>7.5</v>
      </c>
    </row>
    <row r="19" spans="2:58">
      <c r="B19" s="59">
        <f>B18+4</f>
        <v>60</v>
      </c>
      <c r="C19" s="60">
        <v>85</v>
      </c>
      <c r="D19" s="61">
        <v>25.6</v>
      </c>
      <c r="E19" s="61">
        <v>85</v>
      </c>
      <c r="F19" s="72">
        <f>ROUND(TREND(F12:F18,B12:B18,B19),1)</f>
        <v>20.8</v>
      </c>
      <c r="G19" s="60">
        <v>80</v>
      </c>
      <c r="H19" s="61">
        <v>30</v>
      </c>
      <c r="I19" s="61">
        <v>85</v>
      </c>
      <c r="J19" s="72">
        <f>ROUND(TREND($J$13:J18,$B$13:B18,B19),1)</f>
        <v>23.9</v>
      </c>
      <c r="K19" s="71">
        <f t="shared" si="4"/>
        <v>110</v>
      </c>
      <c r="L19" s="61">
        <v>26.1</v>
      </c>
      <c r="M19" s="66">
        <f>CEILING(B19*1.8,10)+10</f>
        <v>120</v>
      </c>
      <c r="N19" s="64">
        <v>19.100000000000001</v>
      </c>
      <c r="O19" s="65">
        <f t="shared" si="5"/>
        <v>110</v>
      </c>
      <c r="P19" s="61">
        <v>24.3</v>
      </c>
      <c r="Q19" s="66">
        <f t="shared" si="8"/>
        <v>120</v>
      </c>
      <c r="R19" s="64">
        <v>24.3</v>
      </c>
      <c r="S19" s="65">
        <v>110</v>
      </c>
      <c r="T19" s="61">
        <v>26</v>
      </c>
      <c r="U19" s="66">
        <v>120</v>
      </c>
      <c r="V19" s="64">
        <v>22.6</v>
      </c>
      <c r="W19" s="65">
        <v>110</v>
      </c>
      <c r="X19" s="61">
        <v>18.3</v>
      </c>
      <c r="Y19" s="66">
        <f t="shared" si="6"/>
        <v>120</v>
      </c>
      <c r="Z19" s="64">
        <v>18.3</v>
      </c>
      <c r="AA19" s="65">
        <f>CEILING(B19*1.5,5)</f>
        <v>90</v>
      </c>
      <c r="AB19" s="61">
        <v>29</v>
      </c>
      <c r="AC19" s="66">
        <f>AA19+10</f>
        <v>100</v>
      </c>
      <c r="AD19" s="68">
        <f>ROUND(TREND($AD$12:AD18,$B$12:B18,B19),1)</f>
        <v>25.1</v>
      </c>
      <c r="AE19" s="67">
        <v>110</v>
      </c>
      <c r="AF19" s="61">
        <v>23.6</v>
      </c>
      <c r="AG19" s="69">
        <v>120</v>
      </c>
      <c r="AH19" s="68">
        <f t="shared" ref="AH19:AH29" si="11">ROUND(TREND(AH13:AH18,B13:B18,B19),1)</f>
        <v>18.399999999999999</v>
      </c>
      <c r="AI19" s="67">
        <v>50</v>
      </c>
      <c r="AJ19" s="73">
        <f t="shared" ref="AJ19:AJ29" si="12">ROUND(TREND(AJ11:AJ18,B11:B18,B19),1)</f>
        <v>27.5</v>
      </c>
      <c r="AK19" s="74">
        <v>70</v>
      </c>
      <c r="AL19" s="68">
        <f t="shared" si="9"/>
        <v>23.9</v>
      </c>
      <c r="AM19" s="67">
        <v>110</v>
      </c>
      <c r="AN19" s="73">
        <f t="shared" ref="AN19:AN25" si="13">ROUND(TREND(AN11:AN18,F11:F18,F19),1)</f>
        <v>23.9</v>
      </c>
      <c r="AO19" s="75">
        <v>120</v>
      </c>
      <c r="AP19" s="68">
        <f t="shared" si="10"/>
        <v>19.3</v>
      </c>
      <c r="AQ19" s="67">
        <v>60</v>
      </c>
      <c r="AR19" s="70">
        <v>30</v>
      </c>
      <c r="AS19" s="61">
        <v>60</v>
      </c>
      <c r="AT19" s="64">
        <v>23.9</v>
      </c>
      <c r="AU19" s="65">
        <v>50</v>
      </c>
      <c r="AV19" s="73">
        <v>28.5</v>
      </c>
      <c r="AW19" s="73">
        <v>60</v>
      </c>
      <c r="AX19" s="68">
        <v>25.9</v>
      </c>
      <c r="AY19" s="65">
        <v>50</v>
      </c>
      <c r="AZ19" s="68">
        <v>23.6</v>
      </c>
      <c r="BA19" s="76">
        <v>65</v>
      </c>
      <c r="BB19" s="68">
        <v>15.9</v>
      </c>
      <c r="BC19" s="76">
        <v>50</v>
      </c>
      <c r="BD19" s="68">
        <v>19.3</v>
      </c>
      <c r="BE19" s="76">
        <v>50</v>
      </c>
      <c r="BF19" s="68">
        <v>7.5</v>
      </c>
    </row>
    <row r="20" spans="2:58">
      <c r="B20" s="59">
        <f>B19+4</f>
        <v>64</v>
      </c>
      <c r="C20" s="60">
        <v>85</v>
      </c>
      <c r="D20" s="61">
        <v>26.3</v>
      </c>
      <c r="E20" s="61">
        <v>85</v>
      </c>
      <c r="F20" s="72">
        <f t="shared" si="7"/>
        <v>21.3</v>
      </c>
      <c r="G20" s="60">
        <v>80</v>
      </c>
      <c r="H20" s="73">
        <f>ROUND(TREND($H$15:H19,$B$15:B19,B20),1)</f>
        <v>30.8</v>
      </c>
      <c r="I20" s="74">
        <v>85</v>
      </c>
      <c r="J20" s="72">
        <f>ROUND(TREND($J$13:J19,$B$13:B19,B20),1)</f>
        <v>24.4</v>
      </c>
      <c r="K20" s="71">
        <f t="shared" si="4"/>
        <v>120</v>
      </c>
      <c r="L20" s="74">
        <v>26.3</v>
      </c>
      <c r="M20" s="66">
        <f>CEILING(B20*1.8,10)+10</f>
        <v>130</v>
      </c>
      <c r="N20" s="64">
        <v>19.3</v>
      </c>
      <c r="O20" s="65">
        <f t="shared" si="5"/>
        <v>110</v>
      </c>
      <c r="P20" s="73">
        <f>ROUND(TREND($P$13:P19,$B$13:B19,B20),1)</f>
        <v>25</v>
      </c>
      <c r="Q20" s="66">
        <f t="shared" si="8"/>
        <v>120</v>
      </c>
      <c r="R20" s="68">
        <f>ROUND(TREND(R15:R19,B15:B19,B20),1)</f>
        <v>24.6</v>
      </c>
      <c r="S20" s="65">
        <v>110</v>
      </c>
      <c r="T20" s="73">
        <v>26</v>
      </c>
      <c r="U20" s="66">
        <v>120</v>
      </c>
      <c r="V20" s="68">
        <f>ROUND(TREND(V15:V19,B15:B19,B20),1)</f>
        <v>22.8</v>
      </c>
      <c r="W20" s="65">
        <v>110</v>
      </c>
      <c r="X20" s="73">
        <f>ROUND(TREND($X$15:X19,$B$15:B19,B20),1)</f>
        <v>18.399999999999999</v>
      </c>
      <c r="Y20" s="66">
        <f t="shared" si="6"/>
        <v>120</v>
      </c>
      <c r="Z20" s="68">
        <f>ROUND(TREND(Z15:Z19,B15:B19,B20),1)</f>
        <v>18.399999999999999</v>
      </c>
      <c r="AA20" s="65">
        <f>CEILING(B20*1.5,5)</f>
        <v>100</v>
      </c>
      <c r="AB20" s="73">
        <f>ROUND(TREND($AB$15:AB19,$B$15:B19,B20),1)</f>
        <v>30.1</v>
      </c>
      <c r="AC20" s="66">
        <f t="shared" ref="AC20:AC29" si="14">AA20+10</f>
        <v>110</v>
      </c>
      <c r="AD20" s="68">
        <f>ROUND(TREND($AD$12:AD19,$B$12:B19,B20),1)</f>
        <v>25.9</v>
      </c>
      <c r="AE20" s="67">
        <v>110</v>
      </c>
      <c r="AF20" s="74">
        <v>24.3</v>
      </c>
      <c r="AG20" s="77">
        <v>120</v>
      </c>
      <c r="AH20" s="68">
        <f t="shared" si="11"/>
        <v>18.399999999999999</v>
      </c>
      <c r="AI20" s="67">
        <v>55</v>
      </c>
      <c r="AJ20" s="73">
        <f t="shared" si="12"/>
        <v>27.9</v>
      </c>
      <c r="AK20" s="74">
        <v>70</v>
      </c>
      <c r="AL20" s="68">
        <f t="shared" si="9"/>
        <v>24.3</v>
      </c>
      <c r="AM20" s="67">
        <v>110</v>
      </c>
      <c r="AN20" s="73">
        <f t="shared" si="13"/>
        <v>24</v>
      </c>
      <c r="AO20" s="75">
        <v>120</v>
      </c>
      <c r="AP20" s="68">
        <f t="shared" si="10"/>
        <v>19.399999999999999</v>
      </c>
      <c r="AQ20" s="67">
        <v>65</v>
      </c>
      <c r="AR20" s="70">
        <v>30.8</v>
      </c>
      <c r="AS20" s="61">
        <v>65</v>
      </c>
      <c r="AT20" s="64">
        <v>24.4</v>
      </c>
      <c r="AU20" s="65">
        <v>55</v>
      </c>
      <c r="AV20" s="73">
        <v>28.9</v>
      </c>
      <c r="AW20" s="73">
        <v>60</v>
      </c>
      <c r="AX20" s="68">
        <v>26.3</v>
      </c>
      <c r="AY20" s="65">
        <v>55</v>
      </c>
      <c r="AZ20" s="68">
        <v>24.3</v>
      </c>
      <c r="BA20" s="76">
        <v>70</v>
      </c>
      <c r="BB20" s="78">
        <v>15.9</v>
      </c>
      <c r="BC20" s="76">
        <v>50</v>
      </c>
      <c r="BD20" s="78">
        <v>19.399999999999999</v>
      </c>
      <c r="BE20" s="76">
        <v>50</v>
      </c>
      <c r="BF20" s="78">
        <v>7.5</v>
      </c>
    </row>
    <row r="21" spans="2:58">
      <c r="B21" s="59">
        <f>B20+4</f>
        <v>68</v>
      </c>
      <c r="C21" s="60">
        <v>90</v>
      </c>
      <c r="D21" s="61">
        <v>26.3</v>
      </c>
      <c r="E21" s="61">
        <v>90</v>
      </c>
      <c r="F21" s="72">
        <f t="shared" si="7"/>
        <v>21.7</v>
      </c>
      <c r="G21" s="60">
        <v>85</v>
      </c>
      <c r="H21" s="73">
        <f>ROUND(TREND($H$15:H20,$B$15:B20,B21),1)</f>
        <v>31.4</v>
      </c>
      <c r="I21" s="74">
        <v>90</v>
      </c>
      <c r="J21" s="72">
        <f>ROUND(TREND($J$13:J20,$B$13:B20,B21),1)</f>
        <v>24.8</v>
      </c>
      <c r="K21" s="71">
        <f t="shared" si="4"/>
        <v>130</v>
      </c>
      <c r="L21" s="74">
        <v>26.3</v>
      </c>
      <c r="M21" s="66">
        <f>CEILING(B21*1.8,10)+10</f>
        <v>140</v>
      </c>
      <c r="N21" s="64">
        <v>19.3</v>
      </c>
      <c r="O21" s="65">
        <f t="shared" si="5"/>
        <v>120</v>
      </c>
      <c r="P21" s="73">
        <f>ROUND(TREND($P$13:P20,$B$13:B20,B21),1)</f>
        <v>25.4</v>
      </c>
      <c r="Q21" s="66">
        <f t="shared" si="8"/>
        <v>130</v>
      </c>
      <c r="R21" s="68">
        <f t="shared" ref="R21:R29" si="15">ROUND(TREND(R16:R20,B16:B20,B21),1)</f>
        <v>24.7</v>
      </c>
      <c r="S21" s="65">
        <v>120</v>
      </c>
      <c r="T21" s="73">
        <v>26</v>
      </c>
      <c r="U21" s="66">
        <v>130</v>
      </c>
      <c r="V21" s="68">
        <f t="shared" ref="V21:V29" si="16">ROUND(TREND(V16:V20,B16:B20,B21),1)</f>
        <v>22.8</v>
      </c>
      <c r="W21" s="65">
        <v>120</v>
      </c>
      <c r="X21" s="73">
        <f>ROUND(TREND($X$15:X20,$B$15:B20,B21),1)</f>
        <v>18.5</v>
      </c>
      <c r="Y21" s="66">
        <f t="shared" si="6"/>
        <v>130</v>
      </c>
      <c r="Z21" s="68">
        <f t="shared" ref="Z21:Z29" si="17">ROUND(TREND(Z16:Z20,B16:B20,B21),1)</f>
        <v>18.399999999999999</v>
      </c>
      <c r="AA21" s="65">
        <f>CEILING(B21*1.5,10)</f>
        <v>110</v>
      </c>
      <c r="AB21" s="73">
        <f>ROUND(TREND($AB$15:AB20,$B$15:B20,B21),1)</f>
        <v>30.8</v>
      </c>
      <c r="AC21" s="66">
        <f t="shared" si="14"/>
        <v>120</v>
      </c>
      <c r="AD21" s="68">
        <f>ROUND(TREND($AD$12:AD20,$B$12:B20,B21),1)</f>
        <v>26.8</v>
      </c>
      <c r="AE21" s="67">
        <v>120</v>
      </c>
      <c r="AF21" s="74">
        <v>24.3</v>
      </c>
      <c r="AG21" s="77">
        <v>130</v>
      </c>
      <c r="AH21" s="68">
        <f t="shared" si="11"/>
        <v>18.5</v>
      </c>
      <c r="AI21" s="67">
        <v>55</v>
      </c>
      <c r="AJ21" s="73">
        <f t="shared" si="12"/>
        <v>28.3</v>
      </c>
      <c r="AK21" s="74">
        <v>75</v>
      </c>
      <c r="AL21" s="68">
        <f t="shared" si="9"/>
        <v>24.7</v>
      </c>
      <c r="AM21" s="67">
        <v>120</v>
      </c>
      <c r="AN21" s="73">
        <f t="shared" si="13"/>
        <v>24.1</v>
      </c>
      <c r="AO21" s="75">
        <v>130</v>
      </c>
      <c r="AP21" s="68">
        <f t="shared" si="10"/>
        <v>19.5</v>
      </c>
      <c r="AQ21" s="67">
        <v>65</v>
      </c>
      <c r="AR21" s="70">
        <v>31.4</v>
      </c>
      <c r="AS21" s="61">
        <v>65</v>
      </c>
      <c r="AT21" s="64">
        <v>24.8</v>
      </c>
      <c r="AU21" s="65">
        <v>55</v>
      </c>
      <c r="AV21" s="73">
        <v>29.3</v>
      </c>
      <c r="AW21" s="73">
        <v>70</v>
      </c>
      <c r="AX21" s="68">
        <v>26.7</v>
      </c>
      <c r="AY21" s="65">
        <v>55</v>
      </c>
      <c r="AZ21" s="68">
        <v>24.3</v>
      </c>
      <c r="BA21" s="79">
        <v>70</v>
      </c>
      <c r="BB21" s="80">
        <v>16</v>
      </c>
      <c r="BC21" s="76">
        <v>50</v>
      </c>
      <c r="BD21" s="78">
        <v>19.5</v>
      </c>
      <c r="BE21" s="79">
        <v>50</v>
      </c>
      <c r="BF21" s="80">
        <v>7.9</v>
      </c>
    </row>
    <row r="22" spans="2:58">
      <c r="B22" s="59">
        <f>B21+4</f>
        <v>72</v>
      </c>
      <c r="C22" s="60">
        <v>90</v>
      </c>
      <c r="D22" s="61">
        <v>26.3</v>
      </c>
      <c r="E22" s="61">
        <v>90</v>
      </c>
      <c r="F22" s="72">
        <f t="shared" si="7"/>
        <v>22.3</v>
      </c>
      <c r="G22" s="60">
        <v>90</v>
      </c>
      <c r="H22" s="73">
        <f>ROUND(TREND($H$15:H21,$B$15:B21,B22),1)</f>
        <v>31.9</v>
      </c>
      <c r="I22" s="74">
        <v>90</v>
      </c>
      <c r="J22" s="72">
        <f>ROUND(TREND($J$13:J21,$B$13:B21,B22),1)</f>
        <v>25.3</v>
      </c>
      <c r="K22" s="71">
        <f t="shared" si="4"/>
        <v>130</v>
      </c>
      <c r="L22" s="74">
        <v>26.6</v>
      </c>
      <c r="M22" s="66">
        <f>CEILING(B22*1.8,10)+10</f>
        <v>140</v>
      </c>
      <c r="N22" s="64">
        <v>19.3</v>
      </c>
      <c r="O22" s="65">
        <f t="shared" si="5"/>
        <v>130</v>
      </c>
      <c r="P22" s="73">
        <f>ROUND(TREND($P$13:P21,$B$13:B21,B22),1)</f>
        <v>25.7</v>
      </c>
      <c r="Q22" s="66">
        <f t="shared" si="8"/>
        <v>140</v>
      </c>
      <c r="R22" s="68">
        <f t="shared" si="15"/>
        <v>24.9</v>
      </c>
      <c r="S22" s="65">
        <v>130</v>
      </c>
      <c r="T22" s="73">
        <f>ROUND(TREND($T$15:T21,$B$15:B21,B22),1)</f>
        <v>26.6</v>
      </c>
      <c r="U22" s="66">
        <v>140</v>
      </c>
      <c r="V22" s="68">
        <f t="shared" si="16"/>
        <v>22.9</v>
      </c>
      <c r="W22" s="65">
        <v>130</v>
      </c>
      <c r="X22" s="73">
        <f>ROUND(TREND($X$15:X21,$B$15:B21,B22),1)</f>
        <v>18.5</v>
      </c>
      <c r="Y22" s="66">
        <f t="shared" si="6"/>
        <v>140</v>
      </c>
      <c r="Z22" s="68">
        <f t="shared" si="17"/>
        <v>18.399999999999999</v>
      </c>
      <c r="AA22" s="65">
        <f>CEILING(B22*1.5,10)</f>
        <v>110</v>
      </c>
      <c r="AB22" s="73">
        <f>ROUND(TREND($AB$15:AB21,$B$15:B21,B22),1)</f>
        <v>31.5</v>
      </c>
      <c r="AC22" s="66">
        <f t="shared" si="14"/>
        <v>120</v>
      </c>
      <c r="AD22" s="68">
        <f>ROUND(TREND($AD$12:AD21,$B$12:B21,B22),1)</f>
        <v>27.6</v>
      </c>
      <c r="AE22" s="67">
        <v>130</v>
      </c>
      <c r="AF22" s="74">
        <v>24.3</v>
      </c>
      <c r="AG22" s="77">
        <v>140</v>
      </c>
      <c r="AH22" s="68">
        <f>ROUND(TREND(AH16:AH21,B16:B21,B22),1)</f>
        <v>18.600000000000001</v>
      </c>
      <c r="AI22" s="67">
        <v>60</v>
      </c>
      <c r="AJ22" s="73">
        <f t="shared" si="12"/>
        <v>28.9</v>
      </c>
      <c r="AK22" s="74">
        <v>75</v>
      </c>
      <c r="AL22" s="68">
        <f t="shared" si="9"/>
        <v>25.1</v>
      </c>
      <c r="AM22" s="67">
        <v>130</v>
      </c>
      <c r="AN22" s="73">
        <f t="shared" si="13"/>
        <v>24.3</v>
      </c>
      <c r="AO22" s="75">
        <v>140</v>
      </c>
      <c r="AP22" s="68">
        <f t="shared" si="10"/>
        <v>19.600000000000001</v>
      </c>
      <c r="AQ22" s="67">
        <v>70</v>
      </c>
      <c r="AR22" s="70">
        <v>31.9</v>
      </c>
      <c r="AS22" s="61">
        <v>70</v>
      </c>
      <c r="AT22" s="64">
        <v>25.3</v>
      </c>
      <c r="AU22" s="65">
        <v>60</v>
      </c>
      <c r="AV22" s="73">
        <v>29.9</v>
      </c>
      <c r="AW22" s="73">
        <v>70</v>
      </c>
      <c r="AX22" s="68">
        <v>27.1</v>
      </c>
      <c r="AY22" s="65">
        <v>60</v>
      </c>
      <c r="AZ22" s="68">
        <v>24.3</v>
      </c>
      <c r="BA22" s="76">
        <v>70</v>
      </c>
      <c r="BB22" s="78">
        <v>16</v>
      </c>
      <c r="BC22" s="76">
        <v>55</v>
      </c>
      <c r="BD22" s="78">
        <v>19.600000000000001</v>
      </c>
      <c r="BE22" s="76">
        <v>55</v>
      </c>
      <c r="BF22" s="78">
        <v>7.9</v>
      </c>
    </row>
    <row r="23" spans="2:58">
      <c r="B23" s="59">
        <f t="shared" ref="B23:B28" si="18">B22+4</f>
        <v>76</v>
      </c>
      <c r="C23" s="60">
        <v>90</v>
      </c>
      <c r="D23" s="61">
        <v>26.3</v>
      </c>
      <c r="E23" s="61">
        <v>90</v>
      </c>
      <c r="F23" s="72">
        <f>ROUND(TREND(F16:F22,B16:B22,B23),1)</f>
        <v>22.9</v>
      </c>
      <c r="G23" s="60">
        <v>90</v>
      </c>
      <c r="H23" s="73">
        <f>ROUND(TREND($H$15:H22,$B$15:B22,B23),1)</f>
        <v>32.5</v>
      </c>
      <c r="I23" s="74">
        <v>95</v>
      </c>
      <c r="J23" s="72">
        <f>ROUND(TREND($J$13:J22,$B$13:B22,B23),1)</f>
        <v>25.7</v>
      </c>
      <c r="K23" s="71">
        <f>CEILING(B23*1.7,10)</f>
        <v>130</v>
      </c>
      <c r="L23" s="74">
        <v>26.8</v>
      </c>
      <c r="M23" s="66">
        <f>CEILING(B23*1.7,10)+10</f>
        <v>140</v>
      </c>
      <c r="N23" s="64">
        <v>19.3</v>
      </c>
      <c r="O23" s="65">
        <f t="shared" si="5"/>
        <v>130</v>
      </c>
      <c r="P23" s="73">
        <f>ROUND(TREND($P$13:P22,$B$13:B22,B23),1)</f>
        <v>26.1</v>
      </c>
      <c r="Q23" s="66">
        <f t="shared" si="8"/>
        <v>140</v>
      </c>
      <c r="R23" s="68">
        <f t="shared" si="15"/>
        <v>25</v>
      </c>
      <c r="S23" s="65">
        <v>130</v>
      </c>
      <c r="T23" s="73">
        <f>ROUND(TREND($T$15:T22,$B$15:B22,B23),1)</f>
        <v>26.8</v>
      </c>
      <c r="U23" s="66">
        <v>140</v>
      </c>
      <c r="V23" s="68">
        <f t="shared" si="16"/>
        <v>23</v>
      </c>
      <c r="W23" s="65">
        <v>130</v>
      </c>
      <c r="X23" s="73">
        <f>ROUND(TREND($X$15:X22,$B$15:B22,B23),1)</f>
        <v>18.600000000000001</v>
      </c>
      <c r="Y23" s="66">
        <f t="shared" si="6"/>
        <v>140</v>
      </c>
      <c r="Z23" s="68">
        <f t="shared" si="17"/>
        <v>18.5</v>
      </c>
      <c r="AA23" s="65">
        <f>CEILING(B23*1.5,10)</f>
        <v>120</v>
      </c>
      <c r="AB23" s="73">
        <f>ROUND(TREND($AB$15:AB22,$B$15:B22,B23),1)</f>
        <v>32.200000000000003</v>
      </c>
      <c r="AC23" s="66">
        <f t="shared" si="14"/>
        <v>130</v>
      </c>
      <c r="AD23" s="68">
        <f>ROUND(TREND($AD$12:AD22,$B$12:B22,B23),1)</f>
        <v>28.5</v>
      </c>
      <c r="AE23" s="67">
        <v>130</v>
      </c>
      <c r="AF23" s="73">
        <f>ROUND(TREND(AF15:AF22,B15:B22,B23),1)</f>
        <v>24.7</v>
      </c>
      <c r="AG23" s="75">
        <v>140</v>
      </c>
      <c r="AH23" s="68">
        <f>ROUND(TREND(AH17:AH22,B17:B22,B23),1)</f>
        <v>18.7</v>
      </c>
      <c r="AI23" s="67">
        <v>60</v>
      </c>
      <c r="AJ23" s="73">
        <f t="shared" si="12"/>
        <v>29.5</v>
      </c>
      <c r="AK23" s="74">
        <v>80</v>
      </c>
      <c r="AL23" s="68">
        <f t="shared" si="9"/>
        <v>25.4</v>
      </c>
      <c r="AM23" s="67">
        <v>130</v>
      </c>
      <c r="AN23" s="73">
        <f t="shared" si="13"/>
        <v>24.4</v>
      </c>
      <c r="AO23" s="75">
        <v>140</v>
      </c>
      <c r="AP23" s="68">
        <f t="shared" si="10"/>
        <v>19.7</v>
      </c>
      <c r="AQ23" s="67">
        <v>70</v>
      </c>
      <c r="AR23" s="70">
        <v>32.5</v>
      </c>
      <c r="AS23" s="61">
        <v>70</v>
      </c>
      <c r="AT23" s="64">
        <v>25.7</v>
      </c>
      <c r="AU23" s="65">
        <v>60</v>
      </c>
      <c r="AV23" s="73">
        <v>30.5</v>
      </c>
      <c r="AW23" s="73">
        <v>70</v>
      </c>
      <c r="AX23" s="68">
        <v>27.4</v>
      </c>
      <c r="AY23" s="65">
        <v>60</v>
      </c>
      <c r="AZ23" s="68">
        <v>24.7</v>
      </c>
      <c r="BA23" s="76">
        <v>70</v>
      </c>
      <c r="BB23" s="78">
        <v>16.100000000000001</v>
      </c>
      <c r="BC23" s="76">
        <v>55</v>
      </c>
      <c r="BD23" s="78">
        <v>19.7</v>
      </c>
      <c r="BE23" s="76">
        <v>55</v>
      </c>
      <c r="BF23" s="78">
        <v>8</v>
      </c>
    </row>
    <row r="24" spans="2:58">
      <c r="B24" s="59">
        <f t="shared" si="18"/>
        <v>80</v>
      </c>
      <c r="C24" s="60">
        <v>95</v>
      </c>
      <c r="D24" s="73">
        <f>ROUND(TREND($D$14:D23,$B$14:B23,B24),1)</f>
        <v>26.7</v>
      </c>
      <c r="E24" s="74">
        <v>95</v>
      </c>
      <c r="F24" s="72">
        <f t="shared" si="7"/>
        <v>23.3</v>
      </c>
      <c r="G24" s="60">
        <v>100</v>
      </c>
      <c r="H24" s="73">
        <f>ROUND(TREND($H$15:H23,$B$15:B23,B24),1)</f>
        <v>33</v>
      </c>
      <c r="I24" s="74">
        <v>100</v>
      </c>
      <c r="J24" s="72">
        <f>ROUND(TREND($J$13:J23,$B$13:B23,B24),1)</f>
        <v>26.2</v>
      </c>
      <c r="K24" s="71">
        <f>CEILING(B24*1.7,10)</f>
        <v>140</v>
      </c>
      <c r="L24" s="74">
        <v>26.8</v>
      </c>
      <c r="M24" s="66">
        <f>CEILING(B24*1.7,10)+10</f>
        <v>150</v>
      </c>
      <c r="N24" s="64">
        <v>19.3</v>
      </c>
      <c r="O24" s="65">
        <f t="shared" si="5"/>
        <v>140</v>
      </c>
      <c r="P24" s="73">
        <f>ROUND(TREND($P$13:P23,$B$13:B23,B24),1)</f>
        <v>26.4</v>
      </c>
      <c r="Q24" s="66">
        <f t="shared" si="8"/>
        <v>150</v>
      </c>
      <c r="R24" s="68">
        <f t="shared" si="15"/>
        <v>25.2</v>
      </c>
      <c r="S24" s="65">
        <v>140</v>
      </c>
      <c r="T24" s="73">
        <f>ROUND(TREND($T$15:T23,$B$15:B23,B24),1)</f>
        <v>27.1</v>
      </c>
      <c r="U24" s="66">
        <v>150</v>
      </c>
      <c r="V24" s="68">
        <f t="shared" si="16"/>
        <v>23.1</v>
      </c>
      <c r="W24" s="65">
        <v>140</v>
      </c>
      <c r="X24" s="73">
        <f>ROUND(TREND($X$15:X23,$B$15:B23,B24),1)</f>
        <v>18.600000000000001</v>
      </c>
      <c r="Y24" s="66">
        <f t="shared" si="6"/>
        <v>150</v>
      </c>
      <c r="Z24" s="68">
        <f t="shared" si="17"/>
        <v>18.5</v>
      </c>
      <c r="AA24" s="65">
        <f>CEILING(B24*1.5,10)</f>
        <v>120</v>
      </c>
      <c r="AB24" s="73">
        <f>ROUND(TREND($AB$15:AB23,$B$15:B23,B24),1)</f>
        <v>32.9</v>
      </c>
      <c r="AC24" s="66">
        <f t="shared" si="14"/>
        <v>130</v>
      </c>
      <c r="AD24" s="68">
        <f>ROUND(TREND($AD$12:AD23,$B$12:B23,B24),1)</f>
        <v>29.3</v>
      </c>
      <c r="AE24" s="67">
        <v>140</v>
      </c>
      <c r="AF24" s="73">
        <f t="shared" ref="AF24:AF29" si="19">ROUND(TREND(AF16:AF23,B16:B23,B24),1)</f>
        <v>24.9</v>
      </c>
      <c r="AG24" s="75">
        <v>150</v>
      </c>
      <c r="AH24" s="68">
        <f t="shared" si="11"/>
        <v>18.8</v>
      </c>
      <c r="AI24" s="67">
        <v>65</v>
      </c>
      <c r="AJ24" s="73">
        <f t="shared" si="12"/>
        <v>30.1</v>
      </c>
      <c r="AK24" s="74">
        <v>80</v>
      </c>
      <c r="AL24" s="68">
        <f t="shared" si="9"/>
        <v>25.8</v>
      </c>
      <c r="AM24" s="67">
        <v>140</v>
      </c>
      <c r="AN24" s="73">
        <f t="shared" si="13"/>
        <v>24.5</v>
      </c>
      <c r="AO24" s="75">
        <v>150</v>
      </c>
      <c r="AP24" s="68">
        <f>ROUND(TREND(AP18:AP23,F18:F23,F24),1)</f>
        <v>19.8</v>
      </c>
      <c r="AQ24" s="67">
        <v>75</v>
      </c>
      <c r="AR24" s="70">
        <v>33</v>
      </c>
      <c r="AS24" s="61">
        <v>75</v>
      </c>
      <c r="AT24" s="64">
        <v>26.2</v>
      </c>
      <c r="AU24" s="65">
        <v>65</v>
      </c>
      <c r="AV24" s="73">
        <v>32.1</v>
      </c>
      <c r="AW24" s="73">
        <v>80</v>
      </c>
      <c r="AX24" s="68">
        <v>27.8</v>
      </c>
      <c r="AY24" s="65">
        <v>65</v>
      </c>
      <c r="AZ24" s="68">
        <v>24.9</v>
      </c>
      <c r="BA24" s="76">
        <v>75</v>
      </c>
      <c r="BB24" s="78">
        <v>16.100000000000001</v>
      </c>
      <c r="BC24" s="76">
        <v>55</v>
      </c>
      <c r="BD24" s="78">
        <v>19.8</v>
      </c>
      <c r="BE24" s="76">
        <v>55</v>
      </c>
      <c r="BF24" s="78">
        <v>8</v>
      </c>
    </row>
    <row r="25" spans="2:58">
      <c r="B25" s="59">
        <f t="shared" si="18"/>
        <v>84</v>
      </c>
      <c r="C25" s="60">
        <v>95</v>
      </c>
      <c r="D25" s="73">
        <f>ROUND(TREND($D$14:D24,$B$14:B24,B25),1)</f>
        <v>26.9</v>
      </c>
      <c r="E25" s="74">
        <v>95</v>
      </c>
      <c r="F25" s="72">
        <f t="shared" si="7"/>
        <v>23.8</v>
      </c>
      <c r="G25" s="60">
        <v>100</v>
      </c>
      <c r="H25" s="73">
        <f>ROUND(TREND($H$15:H24,$B$15:B24,B25),1)</f>
        <v>33.6</v>
      </c>
      <c r="I25" s="74">
        <v>100</v>
      </c>
      <c r="J25" s="72">
        <f>ROUND(TREND($J$13:J24,$B$13:B24,B25),1)</f>
        <v>26.6</v>
      </c>
      <c r="K25" s="71">
        <f>CEILING(B25*1.7,10)</f>
        <v>150</v>
      </c>
      <c r="L25" s="74">
        <v>26.8</v>
      </c>
      <c r="M25" s="66">
        <f>CEILING(B25*1.7,10)+10</f>
        <v>160</v>
      </c>
      <c r="N25" s="64">
        <v>19.3</v>
      </c>
      <c r="O25" s="65">
        <f t="shared" si="5"/>
        <v>150</v>
      </c>
      <c r="P25" s="73">
        <f>ROUND(TREND($P$13:P24,$B$13:B24,B25),1)</f>
        <v>26.8</v>
      </c>
      <c r="Q25" s="66">
        <f t="shared" si="8"/>
        <v>160</v>
      </c>
      <c r="R25" s="68">
        <f t="shared" si="15"/>
        <v>25.3</v>
      </c>
      <c r="S25" s="65">
        <v>150</v>
      </c>
      <c r="T25" s="73">
        <f>ROUND(TREND($T$15:T24,$B$15:B24,B25),1)</f>
        <v>27.3</v>
      </c>
      <c r="U25" s="66">
        <v>160</v>
      </c>
      <c r="V25" s="68">
        <f t="shared" si="16"/>
        <v>23.2</v>
      </c>
      <c r="W25" s="65">
        <v>150</v>
      </c>
      <c r="X25" s="73">
        <f>ROUND(TREND($X$15:X24,$B$15:B24,B25),1)</f>
        <v>18.7</v>
      </c>
      <c r="Y25" s="66">
        <v>150</v>
      </c>
      <c r="Z25" s="68">
        <f t="shared" si="17"/>
        <v>18.5</v>
      </c>
      <c r="AA25" s="65">
        <f>CEILING(B25*1.4,10)</f>
        <v>120</v>
      </c>
      <c r="AB25" s="73">
        <f>ROUND(TREND($AB$15:AB24,$B$15:B24,B25),1)</f>
        <v>33.6</v>
      </c>
      <c r="AC25" s="66">
        <f t="shared" si="14"/>
        <v>130</v>
      </c>
      <c r="AD25" s="68">
        <f>ROUND(TREND($AD$12:AD24,$B$12:B24,B25),1)</f>
        <v>30.2</v>
      </c>
      <c r="AE25" s="67">
        <v>150</v>
      </c>
      <c r="AF25" s="73">
        <f t="shared" si="19"/>
        <v>25.1</v>
      </c>
      <c r="AG25" s="75">
        <v>160</v>
      </c>
      <c r="AH25" s="68">
        <f t="shared" si="11"/>
        <v>18.899999999999999</v>
      </c>
      <c r="AI25" s="67">
        <v>65</v>
      </c>
      <c r="AJ25" s="73">
        <f t="shared" si="12"/>
        <v>30.7</v>
      </c>
      <c r="AK25" s="74">
        <v>85</v>
      </c>
      <c r="AL25" s="68">
        <f t="shared" si="9"/>
        <v>26.2</v>
      </c>
      <c r="AM25" s="67">
        <v>140</v>
      </c>
      <c r="AN25" s="73">
        <f t="shared" si="13"/>
        <v>24.7</v>
      </c>
      <c r="AO25" s="75">
        <v>150</v>
      </c>
      <c r="AP25" s="68">
        <f t="shared" si="10"/>
        <v>19.899999999999999</v>
      </c>
      <c r="AQ25" s="67">
        <v>75</v>
      </c>
      <c r="AR25" s="70">
        <v>33.6</v>
      </c>
      <c r="AS25" s="61">
        <v>75</v>
      </c>
      <c r="AT25" s="64">
        <v>26.6</v>
      </c>
      <c r="AU25" s="65">
        <v>65</v>
      </c>
      <c r="AV25" s="73">
        <v>32.700000000000003</v>
      </c>
      <c r="AW25" s="73">
        <v>80</v>
      </c>
      <c r="AX25" s="68">
        <v>28.2</v>
      </c>
      <c r="AY25" s="65">
        <v>65</v>
      </c>
      <c r="AZ25" s="68">
        <v>25.1</v>
      </c>
      <c r="BA25" s="76">
        <v>75</v>
      </c>
      <c r="BB25" s="78">
        <v>16.3</v>
      </c>
      <c r="BC25" s="76">
        <v>55</v>
      </c>
      <c r="BD25" s="78">
        <v>19.899999999999999</v>
      </c>
      <c r="BE25" s="76">
        <v>55</v>
      </c>
      <c r="BF25" s="78">
        <v>8</v>
      </c>
    </row>
    <row r="26" spans="2:58">
      <c r="B26" s="59">
        <f t="shared" si="18"/>
        <v>88</v>
      </c>
      <c r="C26" s="60">
        <v>100</v>
      </c>
      <c r="D26" s="73">
        <f>ROUND(TREND($D$14:D25,$B$14:B25,B26),1)</f>
        <v>27.1</v>
      </c>
      <c r="E26" s="74">
        <v>100</v>
      </c>
      <c r="F26" s="72">
        <f t="shared" si="7"/>
        <v>24.3</v>
      </c>
      <c r="G26" s="60">
        <v>110</v>
      </c>
      <c r="H26" s="73">
        <f>ROUND(TREND($H$15:H25,$B$15:B25,B26),1)</f>
        <v>34.1</v>
      </c>
      <c r="I26" s="74">
        <v>110</v>
      </c>
      <c r="J26" s="72">
        <f>ROUND(TREND($J$13:J25,$B$13:B25,B26),1)</f>
        <v>27.1</v>
      </c>
      <c r="K26" s="71">
        <f>CEILING(B26*1.6,10)</f>
        <v>150</v>
      </c>
      <c r="L26" s="74">
        <v>26.8</v>
      </c>
      <c r="M26" s="66">
        <f>CEILING(B26*1.6,10)+10</f>
        <v>160</v>
      </c>
      <c r="N26" s="64">
        <v>19.3</v>
      </c>
      <c r="O26" s="65">
        <f t="shared" si="5"/>
        <v>150</v>
      </c>
      <c r="P26" s="73">
        <f>ROUND(TREND($P$13:P25,$B$13:B25,B26),1)</f>
        <v>27.1</v>
      </c>
      <c r="Q26" s="66">
        <f t="shared" si="8"/>
        <v>160</v>
      </c>
      <c r="R26" s="68">
        <f t="shared" si="15"/>
        <v>25.5</v>
      </c>
      <c r="S26" s="65">
        <v>150</v>
      </c>
      <c r="T26" s="73">
        <f>ROUND(TREND($T$15:T25,$B$15:B25,B26),1)</f>
        <v>27.6</v>
      </c>
      <c r="U26" s="66">
        <v>160</v>
      </c>
      <c r="V26" s="68">
        <f t="shared" si="16"/>
        <v>23.3</v>
      </c>
      <c r="W26" s="65">
        <v>150</v>
      </c>
      <c r="X26" s="73">
        <f>ROUND(TREND($X$15:X25,$B$15:B25,B26),1)</f>
        <v>18.7</v>
      </c>
      <c r="Y26" s="66">
        <v>150</v>
      </c>
      <c r="Z26" s="68">
        <f t="shared" si="17"/>
        <v>18.600000000000001</v>
      </c>
      <c r="AA26" s="65">
        <f>CEILING(B26*1.4,10)</f>
        <v>130</v>
      </c>
      <c r="AB26" s="73">
        <f>ROUND(TREND($AB$15:AB25,$B$15:B25,B26),1)</f>
        <v>34.299999999999997</v>
      </c>
      <c r="AC26" s="66">
        <f t="shared" si="14"/>
        <v>140</v>
      </c>
      <c r="AD26" s="68">
        <f>ROUND(TREND($AD$12:AD25,$B$12:B25,B26),1)</f>
        <v>31</v>
      </c>
      <c r="AE26" s="67">
        <v>150</v>
      </c>
      <c r="AF26" s="73">
        <f t="shared" si="19"/>
        <v>25.3</v>
      </c>
      <c r="AG26" s="75">
        <v>160</v>
      </c>
      <c r="AH26" s="68">
        <f t="shared" si="11"/>
        <v>19</v>
      </c>
      <c r="AI26" s="67">
        <v>70</v>
      </c>
      <c r="AJ26" s="73">
        <f>ROUND(TREND(AJ18:AJ25,B18:B25,B26),1)</f>
        <v>31.1</v>
      </c>
      <c r="AK26" s="74">
        <v>85</v>
      </c>
      <c r="AL26" s="68">
        <f t="shared" si="9"/>
        <v>26.6</v>
      </c>
      <c r="AM26" s="67">
        <v>140</v>
      </c>
      <c r="AN26" s="73">
        <f>ROUND(TREND(AN18:AN25,F18:F25,F26),1)</f>
        <v>24.8</v>
      </c>
      <c r="AO26" s="75">
        <v>150</v>
      </c>
      <c r="AP26" s="68">
        <f t="shared" si="10"/>
        <v>20</v>
      </c>
      <c r="AQ26" s="67">
        <v>80</v>
      </c>
      <c r="AR26" s="70">
        <v>34.1</v>
      </c>
      <c r="AS26" s="61">
        <v>80</v>
      </c>
      <c r="AT26" s="64">
        <v>27.1</v>
      </c>
      <c r="AU26" s="65">
        <v>70</v>
      </c>
      <c r="AV26" s="73">
        <v>33.1</v>
      </c>
      <c r="AW26" s="73">
        <v>80</v>
      </c>
      <c r="AX26" s="68">
        <v>28.6</v>
      </c>
      <c r="AY26" s="65">
        <v>70</v>
      </c>
      <c r="AZ26" s="68">
        <v>25.3</v>
      </c>
      <c r="BA26" s="76">
        <v>75</v>
      </c>
      <c r="BB26" s="78">
        <v>16.3</v>
      </c>
      <c r="BC26" s="76">
        <v>60</v>
      </c>
      <c r="BD26" s="78">
        <v>20</v>
      </c>
      <c r="BE26" s="76">
        <v>60</v>
      </c>
      <c r="BF26" s="78">
        <v>8</v>
      </c>
    </row>
    <row r="27" spans="2:58">
      <c r="B27" s="59">
        <f t="shared" si="18"/>
        <v>92</v>
      </c>
      <c r="C27" s="60">
        <v>100</v>
      </c>
      <c r="D27" s="73">
        <f>ROUND(TREND($D$14:D26,$B$14:B26,B27),1)</f>
        <v>27.3</v>
      </c>
      <c r="E27" s="74">
        <v>100</v>
      </c>
      <c r="F27" s="72">
        <f t="shared" si="7"/>
        <v>24.8</v>
      </c>
      <c r="G27" s="60">
        <v>110</v>
      </c>
      <c r="H27" s="73">
        <f>ROUND(TREND($H$15:H26,$B$15:B26,B27),1)</f>
        <v>34.700000000000003</v>
      </c>
      <c r="I27" s="74">
        <v>120</v>
      </c>
      <c r="J27" s="72">
        <f>ROUND(TREND($J$13:J26,$B$13:B26,B27),1)</f>
        <v>27.5</v>
      </c>
      <c r="K27" s="71">
        <f>CEILING(B27*1.6,10)</f>
        <v>150</v>
      </c>
      <c r="L27" s="74">
        <v>27.1</v>
      </c>
      <c r="M27" s="66">
        <f>CEILING(B27*1.6,10)+10</f>
        <v>160</v>
      </c>
      <c r="N27" s="68">
        <f>ROUND(TREND(N17:N26,B17:B26,B27),1)</f>
        <v>19.399999999999999</v>
      </c>
      <c r="O27" s="65">
        <f>CEILING(B27*1.7,10)</f>
        <v>160</v>
      </c>
      <c r="P27" s="73">
        <f>ROUND(TREND($P$13:P26,$B$13:B26,B27),1)</f>
        <v>27.5</v>
      </c>
      <c r="Q27" s="66">
        <f t="shared" si="8"/>
        <v>170</v>
      </c>
      <c r="R27" s="68">
        <f t="shared" si="15"/>
        <v>25.6</v>
      </c>
      <c r="S27" s="65">
        <v>160</v>
      </c>
      <c r="T27" s="73">
        <f>ROUND(TREND($T$15:T26,$B$15:B26,B27),1)</f>
        <v>27.8</v>
      </c>
      <c r="U27" s="66">
        <v>170</v>
      </c>
      <c r="V27" s="68">
        <f t="shared" si="16"/>
        <v>23.4</v>
      </c>
      <c r="W27" s="65">
        <v>160</v>
      </c>
      <c r="X27" s="73">
        <f>ROUND(TREND($X$15:X26,$B$15:B26,B27),1)</f>
        <v>18.8</v>
      </c>
      <c r="Y27" s="66">
        <v>160</v>
      </c>
      <c r="Z27" s="68">
        <f t="shared" si="17"/>
        <v>18.600000000000001</v>
      </c>
      <c r="AA27" s="65">
        <f>CEILING(B27*1.4,10)</f>
        <v>130</v>
      </c>
      <c r="AB27" s="73">
        <f>ROUND(TREND($AB$15:AB26,$B$15:B26,B27),1)</f>
        <v>35</v>
      </c>
      <c r="AC27" s="66">
        <f t="shared" si="14"/>
        <v>140</v>
      </c>
      <c r="AD27" s="68">
        <f>ROUND(TREND($AD$12:AD26,$B$12:B26,B27),1)</f>
        <v>31.9</v>
      </c>
      <c r="AE27" s="67">
        <v>160</v>
      </c>
      <c r="AF27" s="73">
        <f t="shared" si="19"/>
        <v>25.5</v>
      </c>
      <c r="AG27" s="75">
        <v>170</v>
      </c>
      <c r="AH27" s="68">
        <f>ROUND(TREND(AH21:AH26,B21:B26,B27),1)</f>
        <v>19.100000000000001</v>
      </c>
      <c r="AI27" s="67">
        <v>70</v>
      </c>
      <c r="AJ27" s="73">
        <f t="shared" si="12"/>
        <v>31.7</v>
      </c>
      <c r="AK27" s="74">
        <v>90</v>
      </c>
      <c r="AL27" s="68">
        <f t="shared" si="9"/>
        <v>27</v>
      </c>
      <c r="AM27" s="67">
        <v>150</v>
      </c>
      <c r="AN27" s="73">
        <f>ROUND(TREND(AN19:AN26,F19:F26,F27),1)</f>
        <v>24.9</v>
      </c>
      <c r="AO27" s="75">
        <v>160</v>
      </c>
      <c r="AP27" s="68">
        <f t="shared" si="10"/>
        <v>20.100000000000001</v>
      </c>
      <c r="AQ27" s="67">
        <v>80</v>
      </c>
      <c r="AR27" s="70">
        <v>34.700000000000003</v>
      </c>
      <c r="AS27" s="61">
        <v>80</v>
      </c>
      <c r="AT27" s="64">
        <v>27.5</v>
      </c>
      <c r="AU27" s="65">
        <v>70</v>
      </c>
      <c r="AV27" s="73">
        <v>33.700000000000003</v>
      </c>
      <c r="AW27" s="73">
        <v>90</v>
      </c>
      <c r="AX27" s="68">
        <v>29</v>
      </c>
      <c r="AY27" s="65">
        <v>70</v>
      </c>
      <c r="AZ27" s="68">
        <v>25.5</v>
      </c>
      <c r="BA27" s="76">
        <v>80</v>
      </c>
      <c r="BB27" s="78">
        <v>16.5</v>
      </c>
      <c r="BC27" s="76">
        <v>60</v>
      </c>
      <c r="BD27" s="78">
        <v>20.100000000000001</v>
      </c>
      <c r="BE27" s="76">
        <v>60</v>
      </c>
      <c r="BF27" s="78">
        <v>8.3000000000000007</v>
      </c>
    </row>
    <row r="28" spans="2:58">
      <c r="B28" s="59">
        <f t="shared" si="18"/>
        <v>96</v>
      </c>
      <c r="C28" s="60">
        <v>110</v>
      </c>
      <c r="D28" s="73">
        <f>ROUND(TREND($D$14:D27,$B$14:B27,B28),1)</f>
        <v>27.5</v>
      </c>
      <c r="E28" s="74">
        <v>110</v>
      </c>
      <c r="F28" s="72">
        <f t="shared" si="7"/>
        <v>25.3</v>
      </c>
      <c r="G28" s="60">
        <v>120</v>
      </c>
      <c r="H28" s="73">
        <f>ROUND(TREND($H$15:H27,$B$15:B27,B28),1)</f>
        <v>35.200000000000003</v>
      </c>
      <c r="I28" s="74">
        <v>120</v>
      </c>
      <c r="J28" s="72">
        <f>ROUND(TREND($J$13:J27,$B$13:B27,B28),1)</f>
        <v>28</v>
      </c>
      <c r="K28" s="71">
        <f>CEILING(B28*1.6,10)</f>
        <v>160</v>
      </c>
      <c r="L28" s="74">
        <v>27.1</v>
      </c>
      <c r="M28" s="66">
        <f>CEILING(B28*1.6,10)+10</f>
        <v>170</v>
      </c>
      <c r="N28" s="68">
        <f>ROUND(TREND(N18:N27,B18:B27,B28),1)</f>
        <v>19.399999999999999</v>
      </c>
      <c r="O28" s="65">
        <f>O27</f>
        <v>160</v>
      </c>
      <c r="P28" s="73">
        <f>ROUND(TREND($P$13:P27,$B$13:B27,B28),1)</f>
        <v>27.8</v>
      </c>
      <c r="Q28" s="66">
        <f t="shared" si="8"/>
        <v>170</v>
      </c>
      <c r="R28" s="68">
        <f t="shared" si="15"/>
        <v>25.8</v>
      </c>
      <c r="S28" s="65">
        <v>160</v>
      </c>
      <c r="T28" s="73">
        <f>ROUND(TREND($T$15:T27,$B$15:B27,B28),1)</f>
        <v>28.1</v>
      </c>
      <c r="U28" s="66">
        <v>170</v>
      </c>
      <c r="V28" s="68">
        <f t="shared" si="16"/>
        <v>23.5</v>
      </c>
      <c r="W28" s="65">
        <v>160</v>
      </c>
      <c r="X28" s="73">
        <f>ROUND(TREND($X$15:X27,$B$15:B27,B28),1)</f>
        <v>18.8</v>
      </c>
      <c r="Y28" s="66">
        <v>160</v>
      </c>
      <c r="Z28" s="68">
        <f t="shared" si="17"/>
        <v>18.600000000000001</v>
      </c>
      <c r="AA28" s="65">
        <f>CEILING(B28*1.4,10)</f>
        <v>140</v>
      </c>
      <c r="AB28" s="73">
        <f>ROUND(TREND($AB$15:AB27,$B$15:B27,B28),1)</f>
        <v>35.700000000000003</v>
      </c>
      <c r="AC28" s="66">
        <f t="shared" si="14"/>
        <v>150</v>
      </c>
      <c r="AD28" s="68">
        <f>ROUND(TREND($AD$12:AD27,$B$12:B27,B28),1)</f>
        <v>32.700000000000003</v>
      </c>
      <c r="AE28" s="67">
        <v>160</v>
      </c>
      <c r="AF28" s="73">
        <f t="shared" si="19"/>
        <v>25.7</v>
      </c>
      <c r="AG28" s="75">
        <v>170</v>
      </c>
      <c r="AH28" s="68">
        <f t="shared" si="11"/>
        <v>19.2</v>
      </c>
      <c r="AI28" s="67">
        <v>75</v>
      </c>
      <c r="AJ28" s="73">
        <f t="shared" si="12"/>
        <v>32.299999999999997</v>
      </c>
      <c r="AK28" s="74">
        <v>90</v>
      </c>
      <c r="AL28" s="68">
        <f t="shared" si="9"/>
        <v>27.4</v>
      </c>
      <c r="AM28" s="67">
        <v>150</v>
      </c>
      <c r="AN28" s="73">
        <f>ROUND(TREND(AN20:AN27,F20:F27,F28),1)</f>
        <v>25.1</v>
      </c>
      <c r="AO28" s="75">
        <v>160</v>
      </c>
      <c r="AP28" s="68">
        <f t="shared" si="10"/>
        <v>20.2</v>
      </c>
      <c r="AQ28" s="67">
        <v>85</v>
      </c>
      <c r="AR28" s="70">
        <v>35.200000000000003</v>
      </c>
      <c r="AS28" s="61">
        <v>85</v>
      </c>
      <c r="AT28" s="64">
        <v>28</v>
      </c>
      <c r="AU28" s="65">
        <v>80</v>
      </c>
      <c r="AV28" s="73">
        <v>34.299999999999997</v>
      </c>
      <c r="AW28" s="73">
        <v>90</v>
      </c>
      <c r="AX28" s="68">
        <v>29.4</v>
      </c>
      <c r="AY28" s="65">
        <v>80</v>
      </c>
      <c r="AZ28" s="68">
        <v>25.7</v>
      </c>
      <c r="BA28" s="76">
        <v>80</v>
      </c>
      <c r="BB28" s="78">
        <v>16.5</v>
      </c>
      <c r="BC28" s="76">
        <v>60</v>
      </c>
      <c r="BD28" s="78">
        <v>20.2</v>
      </c>
      <c r="BE28" s="76">
        <v>60</v>
      </c>
      <c r="BF28" s="78">
        <v>8.3000000000000007</v>
      </c>
    </row>
    <row r="29" spans="2:58" ht="13.5" thickBot="1">
      <c r="B29" s="81">
        <f>B28+4</f>
        <v>100</v>
      </c>
      <c r="C29" s="82">
        <v>120</v>
      </c>
      <c r="D29" s="83">
        <f>ROUND(TREND($D$14:D28,$B$14:B28,B29),1)</f>
        <v>27.7</v>
      </c>
      <c r="E29" s="84">
        <v>120</v>
      </c>
      <c r="F29" s="85">
        <f t="shared" si="7"/>
        <v>25.8</v>
      </c>
      <c r="G29" s="82">
        <v>120</v>
      </c>
      <c r="H29" s="83">
        <f>ROUND(TREND($H$15:H28,$B$15:B28,B29),1)</f>
        <v>35.799999999999997</v>
      </c>
      <c r="I29" s="84">
        <v>120</v>
      </c>
      <c r="J29" s="85">
        <f>ROUND(TREND($J$13:J28,$B$13:B28,B29),1)</f>
        <v>28.4</v>
      </c>
      <c r="K29" s="86">
        <f>CEILING(B29*1.6,10)</f>
        <v>160</v>
      </c>
      <c r="L29" s="87">
        <v>27.1</v>
      </c>
      <c r="M29" s="88">
        <f>CEILING(B29*1.6,10)+10</f>
        <v>170</v>
      </c>
      <c r="N29" s="89">
        <f>ROUND(TREND(N19:N28,B19:B28,B29),1)</f>
        <v>19.399999999999999</v>
      </c>
      <c r="O29" s="90">
        <f>O28</f>
        <v>160</v>
      </c>
      <c r="P29" s="91">
        <f>ROUND(TREND($P$13:P28,$B$13:B28,B29),1)</f>
        <v>28.2</v>
      </c>
      <c r="Q29" s="88">
        <f t="shared" si="8"/>
        <v>170</v>
      </c>
      <c r="R29" s="89">
        <f t="shared" si="15"/>
        <v>25.9</v>
      </c>
      <c r="S29" s="90">
        <v>160</v>
      </c>
      <c r="T29" s="91">
        <f>ROUND(TREND($T$15:T28,$B$15:B28,B29),1)</f>
        <v>28.3</v>
      </c>
      <c r="U29" s="88">
        <v>170</v>
      </c>
      <c r="V29" s="89">
        <f t="shared" si="16"/>
        <v>23.6</v>
      </c>
      <c r="W29" s="90">
        <v>160</v>
      </c>
      <c r="X29" s="91">
        <f>ROUND(TREND($X$15:X28,$B$15:B28,B29),1)</f>
        <v>18.899999999999999</v>
      </c>
      <c r="Y29" s="88">
        <v>160</v>
      </c>
      <c r="Z29" s="89">
        <f t="shared" si="17"/>
        <v>18.7</v>
      </c>
      <c r="AA29" s="90">
        <f>CEILING(B29*1.4,10)</f>
        <v>140</v>
      </c>
      <c r="AB29" s="91">
        <f>ROUND(TREND($AB$15:AB28,$B$15:B28,B29),1)</f>
        <v>36.4</v>
      </c>
      <c r="AC29" s="88">
        <f t="shared" si="14"/>
        <v>150</v>
      </c>
      <c r="AD29" s="89">
        <f>ROUND(TREND($AD$12:AD28,$B$12:B28,B29),1)</f>
        <v>33.6</v>
      </c>
      <c r="AE29" s="92">
        <v>160</v>
      </c>
      <c r="AF29" s="91">
        <f t="shared" si="19"/>
        <v>25.9</v>
      </c>
      <c r="AG29" s="93">
        <v>170</v>
      </c>
      <c r="AH29" s="89">
        <f t="shared" si="11"/>
        <v>19.3</v>
      </c>
      <c r="AI29" s="92">
        <v>80</v>
      </c>
      <c r="AJ29" s="91">
        <f t="shared" si="12"/>
        <v>32.9</v>
      </c>
      <c r="AK29" s="87">
        <v>100</v>
      </c>
      <c r="AL29" s="89">
        <f t="shared" si="9"/>
        <v>27.8</v>
      </c>
      <c r="AM29" s="92">
        <v>150</v>
      </c>
      <c r="AN29" s="91">
        <f>ROUND(TREND(AN21:AN28,F21:F28,F29),1)</f>
        <v>25.2</v>
      </c>
      <c r="AO29" s="93">
        <v>160</v>
      </c>
      <c r="AP29" s="89">
        <f t="shared" si="10"/>
        <v>20.3</v>
      </c>
      <c r="AQ29" s="92">
        <v>90</v>
      </c>
      <c r="AR29" s="94">
        <v>35.799999999999997</v>
      </c>
      <c r="AS29" s="95">
        <v>90</v>
      </c>
      <c r="AT29" s="96">
        <v>28.4</v>
      </c>
      <c r="AU29" s="90">
        <v>80</v>
      </c>
      <c r="AV29" s="91">
        <v>34.9</v>
      </c>
      <c r="AW29" s="91">
        <v>90</v>
      </c>
      <c r="AX29" s="89">
        <v>29.8</v>
      </c>
      <c r="AY29" s="90">
        <v>90</v>
      </c>
      <c r="AZ29" s="89">
        <v>25.9</v>
      </c>
      <c r="BA29" s="97">
        <v>80</v>
      </c>
      <c r="BB29" s="98">
        <v>16.5</v>
      </c>
      <c r="BC29" s="97">
        <v>60</v>
      </c>
      <c r="BD29" s="98">
        <v>20.3</v>
      </c>
      <c r="BE29" s="97">
        <v>60</v>
      </c>
      <c r="BF29" s="98">
        <v>8.5</v>
      </c>
    </row>
    <row r="31" spans="2:58">
      <c r="C31" s="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P226"/>
  <sheetViews>
    <sheetView workbookViewId="0">
      <selection activeCell="H5" sqref="H5"/>
    </sheetView>
  </sheetViews>
  <sheetFormatPr defaultRowHeight="12.75"/>
  <cols>
    <col min="1" max="1" width="9.140625" style="104"/>
    <col min="2" max="2" width="2.7109375" style="104" customWidth="1"/>
    <col min="3" max="3" width="32.85546875" style="104" customWidth="1"/>
    <col min="4" max="4" width="12.42578125" style="126" customWidth="1"/>
    <col min="5" max="5" width="18.7109375" style="126" customWidth="1"/>
    <col min="6" max="6" width="16.28515625" style="127" customWidth="1"/>
    <col min="7" max="8" width="16.28515625" style="106" customWidth="1"/>
    <col min="9" max="15" width="9.140625" style="104"/>
    <col min="16" max="16" width="23.7109375" style="104" customWidth="1"/>
    <col min="17" max="16384" width="9.140625" style="104"/>
  </cols>
  <sheetData>
    <row r="2" spans="1:8" s="99" customFormat="1" ht="25.5">
      <c r="C2" s="99" t="s">
        <v>51</v>
      </c>
      <c r="D2" s="100" t="s">
        <v>52</v>
      </c>
      <c r="E2" s="100" t="s">
        <v>53</v>
      </c>
      <c r="F2" s="101" t="s">
        <v>54</v>
      </c>
      <c r="G2" s="100" t="s">
        <v>55</v>
      </c>
      <c r="H2" s="102" t="s">
        <v>56</v>
      </c>
    </row>
    <row r="3" spans="1:8" ht="15">
      <c r="A3" s="103"/>
      <c r="B3" s="104">
        <v>1</v>
      </c>
      <c r="C3" s="105" t="s">
        <v>57</v>
      </c>
      <c r="D3" s="106">
        <v>3</v>
      </c>
      <c r="E3" s="106">
        <v>2</v>
      </c>
      <c r="F3" s="107">
        <f t="shared" ref="F3:F66" si="0">ROUND(E3*E3*3.14/4,1)</f>
        <v>3.1</v>
      </c>
      <c r="G3" s="108">
        <v>5</v>
      </c>
      <c r="H3" s="109">
        <f>ROUND(F3/D3,2)</f>
        <v>1.03</v>
      </c>
    </row>
    <row r="4" spans="1:8">
      <c r="A4" s="103"/>
      <c r="B4" s="104">
        <v>1</v>
      </c>
      <c r="C4" s="104" t="s">
        <v>57</v>
      </c>
      <c r="D4" s="106">
        <v>5</v>
      </c>
      <c r="E4" s="106">
        <v>3</v>
      </c>
      <c r="F4" s="107">
        <f t="shared" si="0"/>
        <v>7.1</v>
      </c>
      <c r="G4" s="108">
        <v>10</v>
      </c>
      <c r="H4" s="109">
        <f>ROUND(F4/D4,2)</f>
        <v>1.42</v>
      </c>
    </row>
    <row r="5" spans="1:8">
      <c r="A5" s="103"/>
      <c r="B5" s="104">
        <v>1</v>
      </c>
      <c r="C5" s="104" t="s">
        <v>57</v>
      </c>
      <c r="D5" s="106">
        <v>10</v>
      </c>
      <c r="E5" s="106">
        <v>6</v>
      </c>
      <c r="F5" s="107">
        <f t="shared" si="0"/>
        <v>28.3</v>
      </c>
      <c r="G5" s="108">
        <v>20</v>
      </c>
      <c r="H5" s="109">
        <f t="shared" ref="H5:H88" si="1">ROUND(F5/D5,2)</f>
        <v>2.83</v>
      </c>
    </row>
    <row r="6" spans="1:8">
      <c r="A6" s="103"/>
      <c r="B6" s="104">
        <v>1</v>
      </c>
      <c r="C6" s="104" t="s">
        <v>57</v>
      </c>
      <c r="D6" s="106">
        <v>15</v>
      </c>
      <c r="E6" s="106">
        <v>7</v>
      </c>
      <c r="F6" s="107">
        <f>ROUND(E6*E6*3.14/4,1)</f>
        <v>38.5</v>
      </c>
      <c r="G6" s="108"/>
      <c r="H6" s="109">
        <f t="shared" si="1"/>
        <v>2.57</v>
      </c>
    </row>
    <row r="7" spans="1:8">
      <c r="A7" s="103"/>
      <c r="B7" s="104">
        <v>1</v>
      </c>
      <c r="C7" s="104" t="s">
        <v>57</v>
      </c>
      <c r="D7" s="106">
        <v>20</v>
      </c>
      <c r="E7" s="106">
        <v>8</v>
      </c>
      <c r="F7" s="107">
        <f t="shared" si="0"/>
        <v>50.2</v>
      </c>
      <c r="G7" s="108"/>
      <c r="H7" s="109">
        <f>ROUND(F7/D7,2)</f>
        <v>2.5099999999999998</v>
      </c>
    </row>
    <row r="8" spans="1:8">
      <c r="A8" s="103"/>
      <c r="B8" s="104">
        <v>1</v>
      </c>
      <c r="C8" s="104" t="s">
        <v>57</v>
      </c>
      <c r="D8" s="106">
        <v>25</v>
      </c>
      <c r="E8" s="106">
        <v>9</v>
      </c>
      <c r="F8" s="107">
        <f t="shared" si="0"/>
        <v>63.6</v>
      </c>
      <c r="G8" s="108"/>
      <c r="H8" s="109">
        <f>ROUND(F8/D8,2)</f>
        <v>2.54</v>
      </c>
    </row>
    <row r="9" spans="1:8">
      <c r="A9" s="103"/>
      <c r="B9" s="104">
        <v>1</v>
      </c>
      <c r="C9" s="104" t="s">
        <v>57</v>
      </c>
      <c r="D9" s="106">
        <v>30</v>
      </c>
      <c r="E9" s="106">
        <v>12</v>
      </c>
      <c r="F9" s="107">
        <f t="shared" si="0"/>
        <v>113</v>
      </c>
      <c r="G9" s="108"/>
      <c r="H9" s="109">
        <f t="shared" si="1"/>
        <v>3.77</v>
      </c>
    </row>
    <row r="10" spans="1:8" s="111" customFormat="1" ht="15">
      <c r="A10" s="110"/>
      <c r="B10" s="111">
        <v>1</v>
      </c>
      <c r="C10" s="111" t="str">
        <f>C9</f>
        <v>Береза повислая</v>
      </c>
      <c r="D10" s="112"/>
      <c r="E10" s="112" t="e">
        <f>ROUND(TREND(E3:E5,D3:D5,D10),0)</f>
        <v>#VALUE!</v>
      </c>
      <c r="F10" s="113" t="e">
        <f t="shared" si="0"/>
        <v>#VALUE!</v>
      </c>
      <c r="G10" s="114"/>
      <c r="H10" s="115" t="e">
        <f t="shared" si="1"/>
        <v>#VALUE!</v>
      </c>
    </row>
    <row r="11" spans="1:8" ht="15">
      <c r="A11" s="103"/>
      <c r="B11" s="104">
        <v>1</v>
      </c>
      <c r="C11" s="105" t="s">
        <v>58</v>
      </c>
      <c r="D11" s="106">
        <v>1.5</v>
      </c>
      <c r="E11" s="106">
        <v>1.5</v>
      </c>
      <c r="F11" s="107">
        <f t="shared" si="0"/>
        <v>1.8</v>
      </c>
      <c r="G11" s="108">
        <v>5</v>
      </c>
      <c r="H11" s="109">
        <f t="shared" si="1"/>
        <v>1.2</v>
      </c>
    </row>
    <row r="12" spans="1:8">
      <c r="A12" s="103"/>
      <c r="B12" s="104">
        <v>1</v>
      </c>
      <c r="C12" s="104" t="s">
        <v>58</v>
      </c>
      <c r="D12" s="106">
        <v>3</v>
      </c>
      <c r="E12" s="106">
        <v>3</v>
      </c>
      <c r="F12" s="107">
        <f t="shared" si="0"/>
        <v>7.1</v>
      </c>
      <c r="G12" s="108">
        <v>10</v>
      </c>
      <c r="H12" s="109">
        <f t="shared" si="1"/>
        <v>2.37</v>
      </c>
    </row>
    <row r="13" spans="1:8">
      <c r="A13" s="103"/>
      <c r="B13" s="104">
        <v>1</v>
      </c>
      <c r="C13" s="104" t="s">
        <v>58</v>
      </c>
      <c r="D13" s="106">
        <v>5</v>
      </c>
      <c r="E13" s="106">
        <v>5</v>
      </c>
      <c r="F13" s="107">
        <f t="shared" si="0"/>
        <v>19.600000000000001</v>
      </c>
      <c r="G13" s="108">
        <v>20</v>
      </c>
      <c r="H13" s="109">
        <f t="shared" si="1"/>
        <v>3.92</v>
      </c>
    </row>
    <row r="14" spans="1:8">
      <c r="A14" s="103"/>
      <c r="B14" s="104">
        <v>1</v>
      </c>
      <c r="C14" s="104" t="s">
        <v>58</v>
      </c>
      <c r="D14" s="106">
        <v>7</v>
      </c>
      <c r="E14" s="106">
        <f>TREND(D11:D13,E11:E13,D14)</f>
        <v>7.0000000000000009</v>
      </c>
      <c r="F14" s="107">
        <f t="shared" si="0"/>
        <v>38.5</v>
      </c>
      <c r="G14" s="108"/>
      <c r="H14" s="109">
        <f t="shared" si="1"/>
        <v>5.5</v>
      </c>
    </row>
    <row r="15" spans="1:8" s="111" customFormat="1" ht="15">
      <c r="A15" s="110"/>
      <c r="B15" s="111">
        <v>1</v>
      </c>
      <c r="C15" s="111" t="s">
        <v>58</v>
      </c>
      <c r="D15" s="112">
        <v>4</v>
      </c>
      <c r="E15" s="112">
        <f>ROUND(TREND(E11:E13,D11:D13,D15),0)</f>
        <v>4</v>
      </c>
      <c r="F15" s="113">
        <f t="shared" si="0"/>
        <v>12.6</v>
      </c>
      <c r="G15" s="114"/>
      <c r="H15" s="115">
        <f t="shared" si="1"/>
        <v>3.15</v>
      </c>
    </row>
    <row r="16" spans="1:8" ht="15">
      <c r="A16" s="103"/>
      <c r="B16" s="104">
        <v>1</v>
      </c>
      <c r="C16" s="105" t="s">
        <v>59</v>
      </c>
      <c r="D16" s="106">
        <v>1.5</v>
      </c>
      <c r="E16" s="106">
        <v>1</v>
      </c>
      <c r="F16" s="107">
        <f t="shared" si="0"/>
        <v>0.8</v>
      </c>
      <c r="G16" s="108">
        <v>3</v>
      </c>
      <c r="H16" s="109">
        <f t="shared" si="1"/>
        <v>0.53</v>
      </c>
    </row>
    <row r="17" spans="1:8">
      <c r="A17" s="103"/>
      <c r="B17" s="104">
        <v>1</v>
      </c>
      <c r="C17" s="104" t="str">
        <f>C16</f>
        <v>Вишня домашняя</v>
      </c>
      <c r="D17" s="106">
        <v>3</v>
      </c>
      <c r="E17" s="106">
        <v>2</v>
      </c>
      <c r="F17" s="107">
        <f t="shared" si="0"/>
        <v>3.1</v>
      </c>
      <c r="G17" s="108">
        <v>5</v>
      </c>
      <c r="H17" s="109">
        <f t="shared" si="1"/>
        <v>1.03</v>
      </c>
    </row>
    <row r="18" spans="1:8">
      <c r="A18" s="103"/>
      <c r="B18" s="104">
        <v>1</v>
      </c>
      <c r="C18" s="104" t="str">
        <f>C16</f>
        <v>Вишня домашняя</v>
      </c>
      <c r="D18" s="106">
        <v>6</v>
      </c>
      <c r="E18" s="106">
        <v>4</v>
      </c>
      <c r="F18" s="107">
        <f t="shared" si="0"/>
        <v>12.6</v>
      </c>
      <c r="G18" s="108">
        <v>10</v>
      </c>
      <c r="H18" s="109">
        <f t="shared" si="1"/>
        <v>2.1</v>
      </c>
    </row>
    <row r="19" spans="1:8" s="111" customFormat="1" ht="15">
      <c r="A19" s="110"/>
      <c r="B19" s="111">
        <v>1</v>
      </c>
      <c r="C19" s="111" t="str">
        <f>C16</f>
        <v>Вишня домашняя</v>
      </c>
      <c r="D19" s="112">
        <v>8</v>
      </c>
      <c r="E19" s="112">
        <f>ROUND(TREND(E16:E18,D16:D18,D19),0)</f>
        <v>5</v>
      </c>
      <c r="F19" s="113">
        <f t="shared" si="0"/>
        <v>19.600000000000001</v>
      </c>
      <c r="G19" s="114"/>
      <c r="H19" s="115">
        <f t="shared" si="1"/>
        <v>2.4500000000000002</v>
      </c>
    </row>
    <row r="20" spans="1:8" ht="15">
      <c r="A20" s="103"/>
      <c r="B20" s="104">
        <v>1</v>
      </c>
      <c r="C20" s="105" t="s">
        <v>60</v>
      </c>
      <c r="D20" s="106">
        <v>5</v>
      </c>
      <c r="E20" s="106">
        <v>3</v>
      </c>
      <c r="F20" s="107">
        <f t="shared" si="0"/>
        <v>7.1</v>
      </c>
      <c r="G20" s="108">
        <v>10</v>
      </c>
      <c r="H20" s="109">
        <f t="shared" si="1"/>
        <v>1.42</v>
      </c>
    </row>
    <row r="21" spans="1:8">
      <c r="A21" s="103"/>
      <c r="B21" s="104">
        <v>1</v>
      </c>
      <c r="C21" s="104" t="str">
        <f>C20</f>
        <v>Вяз, бук, граб</v>
      </c>
      <c r="D21" s="106">
        <v>10</v>
      </c>
      <c r="E21" s="106">
        <v>8</v>
      </c>
      <c r="F21" s="107">
        <f t="shared" si="0"/>
        <v>50.2</v>
      </c>
      <c r="G21" s="108">
        <v>20</v>
      </c>
      <c r="H21" s="109">
        <f t="shared" si="1"/>
        <v>5.0199999999999996</v>
      </c>
    </row>
    <row r="22" spans="1:8">
      <c r="A22" s="103"/>
      <c r="B22" s="104">
        <v>1</v>
      </c>
      <c r="C22" s="104" t="str">
        <f>C20</f>
        <v>Вяз, бук, граб</v>
      </c>
      <c r="D22" s="106">
        <v>20</v>
      </c>
      <c r="E22" s="106">
        <v>16</v>
      </c>
      <c r="F22" s="107">
        <f t="shared" si="0"/>
        <v>201</v>
      </c>
      <c r="G22" s="108">
        <v>40</v>
      </c>
      <c r="H22" s="109">
        <f t="shared" si="1"/>
        <v>10.050000000000001</v>
      </c>
    </row>
    <row r="23" spans="1:8">
      <c r="A23" s="103"/>
      <c r="B23" s="104">
        <v>1</v>
      </c>
      <c r="C23" s="104" t="str">
        <f>C20</f>
        <v>Вяз, бук, граб</v>
      </c>
      <c r="D23" s="106">
        <v>15</v>
      </c>
      <c r="E23" s="106">
        <v>12</v>
      </c>
      <c r="F23" s="107">
        <f t="shared" si="0"/>
        <v>113</v>
      </c>
      <c r="G23" s="108"/>
      <c r="H23" s="109">
        <f t="shared" si="1"/>
        <v>7.53</v>
      </c>
    </row>
    <row r="24" spans="1:8">
      <c r="A24" s="103"/>
      <c r="B24" s="104">
        <v>1</v>
      </c>
      <c r="C24" s="104" t="str">
        <f>C20</f>
        <v>Вяз, бук, граб</v>
      </c>
      <c r="D24" s="106">
        <v>25</v>
      </c>
      <c r="E24" s="106">
        <v>20</v>
      </c>
      <c r="F24" s="107">
        <f t="shared" si="0"/>
        <v>314</v>
      </c>
      <c r="H24" s="109">
        <f t="shared" si="1"/>
        <v>12.56</v>
      </c>
    </row>
    <row r="25" spans="1:8" s="111" customFormat="1" ht="15">
      <c r="A25" s="110"/>
      <c r="B25" s="111">
        <v>1</v>
      </c>
      <c r="C25" s="111" t="str">
        <f>C24</f>
        <v>Вяз, бук, граб</v>
      </c>
      <c r="D25" s="112">
        <v>2</v>
      </c>
      <c r="E25" s="112">
        <f>ROUND(TREND(E20:E22,D20:D22,D25),0)</f>
        <v>1</v>
      </c>
      <c r="F25" s="113">
        <f t="shared" si="0"/>
        <v>0.8</v>
      </c>
      <c r="G25" s="114"/>
      <c r="H25" s="115">
        <f t="shared" si="1"/>
        <v>0.4</v>
      </c>
    </row>
    <row r="26" spans="1:8" ht="15">
      <c r="A26" s="103"/>
      <c r="B26" s="104">
        <v>1</v>
      </c>
      <c r="C26" s="105" t="s">
        <v>61</v>
      </c>
      <c r="D26" s="106">
        <v>3</v>
      </c>
      <c r="E26" s="106">
        <v>2</v>
      </c>
      <c r="F26" s="107">
        <f t="shared" si="0"/>
        <v>3.1</v>
      </c>
      <c r="G26" s="106">
        <v>1</v>
      </c>
      <c r="H26" s="109">
        <f t="shared" si="1"/>
        <v>1.03</v>
      </c>
    </row>
    <row r="27" spans="1:8">
      <c r="A27" s="103"/>
      <c r="B27" s="104">
        <v>1</v>
      </c>
      <c r="C27" s="104" t="str">
        <f>C26</f>
        <v>Груша</v>
      </c>
      <c r="D27" s="106">
        <v>6</v>
      </c>
      <c r="E27" s="106">
        <v>3</v>
      </c>
      <c r="F27" s="107">
        <f t="shared" si="0"/>
        <v>7.1</v>
      </c>
      <c r="G27" s="106">
        <v>20</v>
      </c>
      <c r="H27" s="109">
        <f t="shared" si="1"/>
        <v>1.18</v>
      </c>
    </row>
    <row r="28" spans="1:8">
      <c r="A28" s="103"/>
      <c r="B28" s="104">
        <v>1</v>
      </c>
      <c r="C28" s="104" t="str">
        <f>C26</f>
        <v>Груша</v>
      </c>
      <c r="D28" s="106">
        <v>15</v>
      </c>
      <c r="E28" s="106">
        <v>6</v>
      </c>
      <c r="F28" s="107">
        <f t="shared" si="0"/>
        <v>28.3</v>
      </c>
      <c r="G28" s="106">
        <v>40</v>
      </c>
      <c r="H28" s="109">
        <f t="shared" si="1"/>
        <v>1.89</v>
      </c>
    </row>
    <row r="29" spans="1:8">
      <c r="A29" s="103"/>
      <c r="B29" s="104">
        <v>1</v>
      </c>
      <c r="C29" s="104" t="str">
        <f>C26</f>
        <v>Груша</v>
      </c>
      <c r="D29" s="106">
        <v>10</v>
      </c>
      <c r="E29" s="106">
        <v>4</v>
      </c>
      <c r="F29" s="107">
        <f t="shared" si="0"/>
        <v>12.6</v>
      </c>
      <c r="H29" s="109">
        <f t="shared" si="1"/>
        <v>1.26</v>
      </c>
    </row>
    <row r="30" spans="1:8">
      <c r="A30" s="103"/>
      <c r="B30" s="104">
        <v>1</v>
      </c>
      <c r="C30" s="104" t="str">
        <f>C26</f>
        <v>Груша</v>
      </c>
      <c r="D30" s="106">
        <v>20</v>
      </c>
      <c r="E30" s="106">
        <v>8</v>
      </c>
      <c r="F30" s="107">
        <f t="shared" si="0"/>
        <v>50.2</v>
      </c>
      <c r="G30" s="108"/>
      <c r="H30" s="109">
        <f t="shared" si="1"/>
        <v>2.5099999999999998</v>
      </c>
    </row>
    <row r="31" spans="1:8" s="111" customFormat="1" ht="15">
      <c r="A31" s="110"/>
      <c r="B31" s="111">
        <v>1</v>
      </c>
      <c r="C31" s="111" t="str">
        <f>C30</f>
        <v>Груша</v>
      </c>
      <c r="D31" s="112"/>
      <c r="E31" s="112" t="e">
        <f>ROUND(TREND(E26:E28,D26:D28,D31),0)</f>
        <v>#VALUE!</v>
      </c>
      <c r="F31" s="113" t="e">
        <f t="shared" si="0"/>
        <v>#VALUE!</v>
      </c>
      <c r="G31" s="114"/>
      <c r="H31" s="115" t="e">
        <f t="shared" si="1"/>
        <v>#VALUE!</v>
      </c>
    </row>
    <row r="32" spans="1:8" ht="15">
      <c r="A32" s="103"/>
      <c r="B32" s="104">
        <v>1</v>
      </c>
      <c r="C32" s="105" t="s">
        <v>62</v>
      </c>
      <c r="D32" s="106">
        <v>6</v>
      </c>
      <c r="E32" s="106">
        <v>4</v>
      </c>
      <c r="F32" s="107">
        <f t="shared" si="0"/>
        <v>12.6</v>
      </c>
      <c r="G32" s="108">
        <v>1</v>
      </c>
      <c r="H32" s="109">
        <f t="shared" si="1"/>
        <v>2.1</v>
      </c>
    </row>
    <row r="33" spans="1:8">
      <c r="A33" s="103"/>
      <c r="B33" s="104">
        <v>1</v>
      </c>
      <c r="C33" s="104" t="s">
        <v>62</v>
      </c>
      <c r="D33" s="106">
        <v>12</v>
      </c>
      <c r="E33" s="106">
        <v>8</v>
      </c>
      <c r="F33" s="107">
        <f t="shared" si="0"/>
        <v>50.2</v>
      </c>
      <c r="G33" s="108">
        <v>20</v>
      </c>
      <c r="H33" s="109">
        <f t="shared" si="1"/>
        <v>4.18</v>
      </c>
    </row>
    <row r="34" spans="1:8">
      <c r="A34" s="103"/>
      <c r="B34" s="104">
        <v>1</v>
      </c>
      <c r="C34" s="104" t="s">
        <v>62</v>
      </c>
      <c r="D34" s="106">
        <v>20</v>
      </c>
      <c r="E34" s="106">
        <v>16</v>
      </c>
      <c r="F34" s="107">
        <f t="shared" si="0"/>
        <v>201</v>
      </c>
      <c r="G34" s="108">
        <v>40</v>
      </c>
      <c r="H34" s="109">
        <f t="shared" si="1"/>
        <v>10.050000000000001</v>
      </c>
    </row>
    <row r="35" spans="1:8">
      <c r="A35" s="103"/>
      <c r="B35" s="104">
        <v>1</v>
      </c>
      <c r="C35" s="104" t="s">
        <v>62</v>
      </c>
      <c r="D35" s="106">
        <v>25</v>
      </c>
      <c r="E35" s="106">
        <v>18</v>
      </c>
      <c r="F35" s="107">
        <f t="shared" si="0"/>
        <v>254.3</v>
      </c>
      <c r="G35" s="108"/>
      <c r="H35" s="109">
        <f t="shared" si="1"/>
        <v>10.17</v>
      </c>
    </row>
    <row r="36" spans="1:8">
      <c r="A36" s="103"/>
      <c r="B36" s="104">
        <v>1</v>
      </c>
      <c r="C36" s="104" t="s">
        <v>62</v>
      </c>
      <c r="D36" s="106">
        <v>16</v>
      </c>
      <c r="E36" s="106">
        <f>ROUND(TREND(E32:E34,D32:D34,D36),0)</f>
        <v>12</v>
      </c>
      <c r="F36" s="107">
        <f t="shared" si="0"/>
        <v>113</v>
      </c>
      <c r="G36" s="108"/>
      <c r="H36" s="109">
        <f t="shared" si="1"/>
        <v>7.06</v>
      </c>
    </row>
    <row r="37" spans="1:8" s="111" customFormat="1" ht="15">
      <c r="A37" s="110"/>
      <c r="B37" s="111">
        <v>1</v>
      </c>
      <c r="C37" s="111" t="str">
        <f>C36</f>
        <v>Дуб красный</v>
      </c>
      <c r="D37" s="112"/>
      <c r="E37" s="112" t="e">
        <f>ROUND(TREND(E32:E34,D32:D34,D37),0)</f>
        <v>#VALUE!</v>
      </c>
      <c r="F37" s="113" t="e">
        <f t="shared" si="0"/>
        <v>#VALUE!</v>
      </c>
      <c r="G37" s="114"/>
      <c r="H37" s="115" t="e">
        <f t="shared" si="1"/>
        <v>#VALUE!</v>
      </c>
    </row>
    <row r="38" spans="1:8" ht="15">
      <c r="A38" s="103"/>
      <c r="B38" s="104">
        <v>1</v>
      </c>
      <c r="C38" s="105" t="s">
        <v>63</v>
      </c>
      <c r="D38" s="106">
        <v>4</v>
      </c>
      <c r="E38" s="106">
        <v>3</v>
      </c>
      <c r="F38" s="107">
        <f t="shared" si="0"/>
        <v>7.1</v>
      </c>
      <c r="G38" s="106">
        <v>10</v>
      </c>
      <c r="H38" s="109">
        <f t="shared" si="1"/>
        <v>1.78</v>
      </c>
    </row>
    <row r="39" spans="1:8">
      <c r="A39" s="103"/>
      <c r="B39" s="104">
        <v>1</v>
      </c>
      <c r="C39" s="104" t="s">
        <v>63</v>
      </c>
      <c r="D39" s="106">
        <v>10</v>
      </c>
      <c r="E39" s="106">
        <v>8</v>
      </c>
      <c r="F39" s="107">
        <f t="shared" si="0"/>
        <v>50.2</v>
      </c>
      <c r="G39" s="106">
        <v>20</v>
      </c>
      <c r="H39" s="109">
        <f t="shared" si="1"/>
        <v>5.0199999999999996</v>
      </c>
    </row>
    <row r="40" spans="1:8">
      <c r="A40" s="103"/>
      <c r="B40" s="104">
        <v>1</v>
      </c>
      <c r="C40" s="104" t="s">
        <v>63</v>
      </c>
      <c r="D40" s="106">
        <v>20</v>
      </c>
      <c r="E40" s="106">
        <v>16</v>
      </c>
      <c r="F40" s="107">
        <f t="shared" si="0"/>
        <v>201</v>
      </c>
      <c r="G40" s="106">
        <v>60</v>
      </c>
      <c r="H40" s="109">
        <f t="shared" si="1"/>
        <v>10.050000000000001</v>
      </c>
    </row>
    <row r="41" spans="1:8">
      <c r="A41" s="103"/>
      <c r="B41" s="104">
        <v>1</v>
      </c>
      <c r="C41" s="104" t="s">
        <v>63</v>
      </c>
      <c r="D41" s="106">
        <v>15</v>
      </c>
      <c r="E41" s="106">
        <v>12</v>
      </c>
      <c r="F41" s="107">
        <f t="shared" si="0"/>
        <v>113</v>
      </c>
      <c r="H41" s="109">
        <f t="shared" si="1"/>
        <v>7.53</v>
      </c>
    </row>
    <row r="42" spans="1:8">
      <c r="A42" s="103"/>
      <c r="B42" s="104">
        <v>1</v>
      </c>
      <c r="C42" s="104" t="s">
        <v>63</v>
      </c>
      <c r="D42" s="106">
        <v>25</v>
      </c>
      <c r="E42" s="106">
        <v>20</v>
      </c>
      <c r="F42" s="107">
        <f t="shared" si="0"/>
        <v>314</v>
      </c>
      <c r="H42" s="109">
        <f t="shared" si="1"/>
        <v>12.56</v>
      </c>
    </row>
    <row r="43" spans="1:8" s="111" customFormat="1" ht="15">
      <c r="A43" s="110"/>
      <c r="B43" s="111">
        <v>1</v>
      </c>
      <c r="C43" s="111" t="str">
        <f>C42</f>
        <v>Дуб черешчатый</v>
      </c>
      <c r="D43" s="112">
        <v>6</v>
      </c>
      <c r="E43" s="112">
        <f>ROUND(TREND(E38:E40,D38:D40,D43),0)</f>
        <v>5</v>
      </c>
      <c r="F43" s="113">
        <f t="shared" si="0"/>
        <v>19.600000000000001</v>
      </c>
      <c r="G43" s="114"/>
      <c r="H43" s="115">
        <f t="shared" si="1"/>
        <v>3.27</v>
      </c>
    </row>
    <row r="44" spans="1:8" ht="15">
      <c r="A44" s="103"/>
      <c r="B44" s="104">
        <v>1</v>
      </c>
      <c r="C44" s="105" t="s">
        <v>64</v>
      </c>
      <c r="D44" s="106">
        <v>3</v>
      </c>
      <c r="E44" s="106">
        <v>2</v>
      </c>
      <c r="F44" s="107">
        <f t="shared" si="0"/>
        <v>3.1</v>
      </c>
      <c r="G44" s="106">
        <v>10</v>
      </c>
      <c r="H44" s="109">
        <f t="shared" si="1"/>
        <v>1.03</v>
      </c>
    </row>
    <row r="45" spans="1:8">
      <c r="A45" s="103"/>
      <c r="B45" s="104">
        <v>1</v>
      </c>
      <c r="C45" s="104" t="s">
        <v>64</v>
      </c>
      <c r="D45" s="106">
        <v>10</v>
      </c>
      <c r="E45" s="106">
        <v>5</v>
      </c>
      <c r="F45" s="107">
        <f t="shared" si="0"/>
        <v>19.600000000000001</v>
      </c>
      <c r="G45" s="106">
        <v>20</v>
      </c>
      <c r="H45" s="109">
        <f t="shared" si="1"/>
        <v>1.96</v>
      </c>
    </row>
    <row r="46" spans="1:8">
      <c r="A46" s="103"/>
      <c r="B46" s="104">
        <v>1</v>
      </c>
      <c r="C46" s="104" t="s">
        <v>64</v>
      </c>
      <c r="D46" s="106">
        <v>20</v>
      </c>
      <c r="E46" s="106">
        <v>10</v>
      </c>
      <c r="F46" s="107">
        <f t="shared" si="0"/>
        <v>78.5</v>
      </c>
      <c r="G46" s="106">
        <v>40</v>
      </c>
      <c r="H46" s="109">
        <f t="shared" si="1"/>
        <v>3.93</v>
      </c>
    </row>
    <row r="47" spans="1:8">
      <c r="A47" s="103"/>
      <c r="B47" s="104">
        <v>1</v>
      </c>
      <c r="C47" s="104" t="s">
        <v>64</v>
      </c>
      <c r="D47" s="106">
        <v>15</v>
      </c>
      <c r="E47" s="106">
        <v>8</v>
      </c>
      <c r="F47" s="107">
        <f t="shared" si="0"/>
        <v>50.2</v>
      </c>
      <c r="H47" s="109">
        <f t="shared" si="1"/>
        <v>3.35</v>
      </c>
    </row>
    <row r="48" spans="1:8">
      <c r="A48" s="103"/>
      <c r="B48" s="104">
        <v>1</v>
      </c>
      <c r="C48" s="104" t="s">
        <v>64</v>
      </c>
      <c r="D48" s="106">
        <v>25</v>
      </c>
      <c r="E48" s="106">
        <v>12</v>
      </c>
      <c r="F48" s="107">
        <f t="shared" si="0"/>
        <v>113</v>
      </c>
      <c r="H48" s="109">
        <f t="shared" si="1"/>
        <v>4.5199999999999996</v>
      </c>
    </row>
    <row r="49" spans="1:16" s="111" customFormat="1" ht="15">
      <c r="A49" s="110"/>
      <c r="B49" s="111">
        <v>1</v>
      </c>
      <c r="C49" s="111" t="str">
        <f>C48</f>
        <v>Ель колючая</v>
      </c>
      <c r="D49" s="112">
        <v>14</v>
      </c>
      <c r="E49" s="112">
        <f>ROUND(TREND(E44:E46,D44:D46,D49),0)</f>
        <v>7</v>
      </c>
      <c r="F49" s="113">
        <f t="shared" si="0"/>
        <v>38.5</v>
      </c>
      <c r="G49" s="114"/>
      <c r="H49" s="115">
        <f t="shared" si="1"/>
        <v>2.75</v>
      </c>
    </row>
    <row r="50" spans="1:16" ht="15.75" customHeight="1">
      <c r="A50" s="103"/>
      <c r="B50" s="104">
        <v>1</v>
      </c>
      <c r="C50" s="105" t="s">
        <v>65</v>
      </c>
      <c r="D50" s="106">
        <v>5</v>
      </c>
      <c r="E50" s="106">
        <v>2</v>
      </c>
      <c r="F50" s="107">
        <f t="shared" si="0"/>
        <v>3.1</v>
      </c>
      <c r="G50" s="106">
        <v>10</v>
      </c>
      <c r="H50" s="109">
        <f t="shared" si="1"/>
        <v>0.62</v>
      </c>
    </row>
    <row r="51" spans="1:16" ht="15.75" customHeight="1">
      <c r="A51" s="103"/>
      <c r="B51" s="104">
        <v>1</v>
      </c>
      <c r="C51" s="104" t="s">
        <v>65</v>
      </c>
      <c r="D51" s="106">
        <v>8</v>
      </c>
      <c r="E51" s="106">
        <v>3</v>
      </c>
      <c r="F51" s="107">
        <f t="shared" si="0"/>
        <v>7.1</v>
      </c>
      <c r="G51" s="106">
        <v>20</v>
      </c>
      <c r="H51" s="109">
        <f t="shared" si="1"/>
        <v>0.89</v>
      </c>
      <c r="P51" s="116"/>
    </row>
    <row r="52" spans="1:16" ht="15.75" customHeight="1">
      <c r="A52" s="103"/>
      <c r="B52" s="104">
        <v>1</v>
      </c>
      <c r="C52" s="104" t="s">
        <v>65</v>
      </c>
      <c r="D52" s="106">
        <v>16</v>
      </c>
      <c r="E52" s="106">
        <v>6</v>
      </c>
      <c r="F52" s="107">
        <f t="shared" si="0"/>
        <v>28.3</v>
      </c>
      <c r="G52" s="106">
        <v>40</v>
      </c>
      <c r="H52" s="109">
        <f t="shared" si="1"/>
        <v>1.77</v>
      </c>
      <c r="P52" s="116"/>
    </row>
    <row r="53" spans="1:16" ht="15.75" customHeight="1">
      <c r="A53" s="103"/>
      <c r="B53" s="104">
        <v>1</v>
      </c>
      <c r="C53" s="104" t="s">
        <v>65</v>
      </c>
      <c r="D53" s="106">
        <v>20</v>
      </c>
      <c r="E53" s="106">
        <v>7</v>
      </c>
      <c r="F53" s="107">
        <f t="shared" si="0"/>
        <v>38.5</v>
      </c>
      <c r="H53" s="109">
        <f t="shared" si="1"/>
        <v>1.93</v>
      </c>
      <c r="P53" s="116"/>
    </row>
    <row r="54" spans="1:16" ht="15.75" customHeight="1">
      <c r="A54" s="103"/>
      <c r="B54" s="104">
        <v>1</v>
      </c>
      <c r="C54" s="104" t="s">
        <v>65</v>
      </c>
      <c r="D54" s="106">
        <v>25</v>
      </c>
      <c r="E54" s="106">
        <v>9</v>
      </c>
      <c r="F54" s="107">
        <f t="shared" si="0"/>
        <v>63.6</v>
      </c>
      <c r="H54" s="109">
        <f t="shared" si="1"/>
        <v>2.54</v>
      </c>
      <c r="P54" s="116"/>
    </row>
    <row r="55" spans="1:16" s="111" customFormat="1" ht="15">
      <c r="A55" s="110"/>
      <c r="B55" s="111">
        <v>1</v>
      </c>
      <c r="C55" s="111" t="str">
        <f>C54</f>
        <v>Ель обыкновенная</v>
      </c>
      <c r="D55" s="112">
        <v>17</v>
      </c>
      <c r="E55" s="112">
        <f>ROUND(TREND(E50:E52,D50:D52,D55),0)</f>
        <v>6</v>
      </c>
      <c r="F55" s="113">
        <f t="shared" si="0"/>
        <v>28.3</v>
      </c>
      <c r="G55" s="114"/>
      <c r="H55" s="115">
        <f t="shared" si="1"/>
        <v>1.66</v>
      </c>
    </row>
    <row r="56" spans="1:16" ht="15.75" customHeight="1">
      <c r="A56" s="103"/>
      <c r="B56" s="104">
        <v>1</v>
      </c>
      <c r="C56" s="105" t="s">
        <v>36</v>
      </c>
      <c r="D56" s="106">
        <v>5</v>
      </c>
      <c r="E56" s="106">
        <v>3</v>
      </c>
      <c r="F56" s="107">
        <f t="shared" si="0"/>
        <v>7.1</v>
      </c>
      <c r="G56" s="106">
        <v>5</v>
      </c>
      <c r="H56" s="109">
        <f t="shared" si="1"/>
        <v>1.42</v>
      </c>
      <c r="P56" s="116"/>
    </row>
    <row r="57" spans="1:16" ht="15.75" customHeight="1">
      <c r="A57" s="103"/>
      <c r="B57" s="104">
        <v>1</v>
      </c>
      <c r="C57" s="104" t="s">
        <v>36</v>
      </c>
      <c r="D57" s="106">
        <v>10</v>
      </c>
      <c r="E57" s="106">
        <v>8</v>
      </c>
      <c r="F57" s="107">
        <f t="shared" si="0"/>
        <v>50.2</v>
      </c>
      <c r="G57" s="106">
        <v>10</v>
      </c>
      <c r="H57" s="109">
        <f t="shared" si="1"/>
        <v>5.0199999999999996</v>
      </c>
      <c r="P57" s="116"/>
    </row>
    <row r="58" spans="1:16" ht="15.75" customHeight="1">
      <c r="A58" s="103"/>
      <c r="B58" s="104">
        <v>1</v>
      </c>
      <c r="C58" s="104" t="s">
        <v>36</v>
      </c>
      <c r="D58" s="106">
        <v>20</v>
      </c>
      <c r="E58" s="106">
        <v>15</v>
      </c>
      <c r="F58" s="107">
        <f t="shared" si="0"/>
        <v>176.6</v>
      </c>
      <c r="G58" s="106">
        <v>20</v>
      </c>
      <c r="H58" s="109">
        <f t="shared" si="1"/>
        <v>8.83</v>
      </c>
      <c r="P58" s="116"/>
    </row>
    <row r="59" spans="1:16" ht="15.75" customHeight="1">
      <c r="A59" s="103"/>
      <c r="B59" s="104">
        <v>1</v>
      </c>
      <c r="C59" s="104" t="s">
        <v>36</v>
      </c>
      <c r="D59" s="106">
        <v>15</v>
      </c>
      <c r="E59" s="106">
        <v>11</v>
      </c>
      <c r="F59" s="107">
        <f t="shared" si="0"/>
        <v>95</v>
      </c>
      <c r="H59" s="109">
        <f t="shared" si="1"/>
        <v>6.33</v>
      </c>
      <c r="P59" s="116"/>
    </row>
    <row r="60" spans="1:16" ht="15.75" customHeight="1">
      <c r="A60" s="103"/>
      <c r="B60" s="104">
        <v>1</v>
      </c>
      <c r="C60" s="104" t="s">
        <v>36</v>
      </c>
      <c r="D60" s="106">
        <v>25</v>
      </c>
      <c r="E60" s="106">
        <v>19</v>
      </c>
      <c r="F60" s="107">
        <f t="shared" si="0"/>
        <v>283.39999999999998</v>
      </c>
      <c r="H60" s="109">
        <f t="shared" si="1"/>
        <v>11.34</v>
      </c>
      <c r="P60" s="116"/>
    </row>
    <row r="61" spans="1:16" s="111" customFormat="1" ht="15">
      <c r="A61" s="110"/>
      <c r="B61" s="111">
        <v>1</v>
      </c>
      <c r="C61" s="111" t="str">
        <f>C60</f>
        <v>Ива белая</v>
      </c>
      <c r="D61" s="112">
        <v>9</v>
      </c>
      <c r="E61" s="112">
        <f>ROUND(TREND(E56:E58,D56:D58,D61),0)</f>
        <v>7</v>
      </c>
      <c r="F61" s="113">
        <f t="shared" si="0"/>
        <v>38.5</v>
      </c>
      <c r="G61" s="114"/>
      <c r="H61" s="115">
        <f t="shared" si="1"/>
        <v>4.28</v>
      </c>
    </row>
    <row r="62" spans="1:16" ht="15.75" customHeight="1">
      <c r="A62" s="103"/>
      <c r="B62" s="104">
        <v>1</v>
      </c>
      <c r="C62" s="105" t="s">
        <v>66</v>
      </c>
      <c r="D62" s="106">
        <v>1.5</v>
      </c>
      <c r="E62" s="106">
        <v>1.5</v>
      </c>
      <c r="F62" s="107">
        <f t="shared" si="0"/>
        <v>1.8</v>
      </c>
      <c r="G62" s="106">
        <v>3</v>
      </c>
      <c r="H62" s="109">
        <f t="shared" si="1"/>
        <v>1.2</v>
      </c>
      <c r="P62" s="116"/>
    </row>
    <row r="63" spans="1:16" ht="15.75" customHeight="1">
      <c r="A63" s="103"/>
      <c r="B63" s="104">
        <v>1</v>
      </c>
      <c r="C63" s="104" t="s">
        <v>66</v>
      </c>
      <c r="D63" s="106">
        <v>3</v>
      </c>
      <c r="E63" s="106">
        <v>3</v>
      </c>
      <c r="F63" s="107">
        <f t="shared" si="0"/>
        <v>7.1</v>
      </c>
      <c r="G63" s="106">
        <v>5</v>
      </c>
      <c r="H63" s="109">
        <f t="shared" si="1"/>
        <v>2.37</v>
      </c>
      <c r="P63" s="116"/>
    </row>
    <row r="64" spans="1:16" ht="15.75" customHeight="1">
      <c r="A64" s="103"/>
      <c r="B64" s="104">
        <v>1</v>
      </c>
      <c r="C64" s="104" t="s">
        <v>66</v>
      </c>
      <c r="D64" s="106">
        <v>6</v>
      </c>
      <c r="E64" s="106">
        <v>6</v>
      </c>
      <c r="F64" s="107">
        <f t="shared" si="0"/>
        <v>28.3</v>
      </c>
      <c r="G64" s="106">
        <v>10</v>
      </c>
      <c r="H64" s="109">
        <f t="shared" si="1"/>
        <v>4.72</v>
      </c>
      <c r="P64" s="116"/>
    </row>
    <row r="65" spans="1:16" ht="15.75" customHeight="1">
      <c r="A65" s="103"/>
      <c r="B65" s="104">
        <v>1</v>
      </c>
      <c r="C65" s="104" t="s">
        <v>66</v>
      </c>
      <c r="D65" s="106">
        <v>10</v>
      </c>
      <c r="E65" s="106">
        <v>10</v>
      </c>
      <c r="F65" s="107">
        <f t="shared" si="0"/>
        <v>78.5</v>
      </c>
      <c r="G65" s="106">
        <v>20</v>
      </c>
      <c r="H65" s="109">
        <f t="shared" si="1"/>
        <v>7.85</v>
      </c>
      <c r="P65" s="116"/>
    </row>
    <row r="66" spans="1:16" ht="15.75" customHeight="1">
      <c r="A66" s="103"/>
      <c r="B66" s="104">
        <v>1</v>
      </c>
      <c r="C66" s="104" t="s">
        <v>66</v>
      </c>
      <c r="D66" s="106">
        <v>12</v>
      </c>
      <c r="E66" s="106">
        <v>12</v>
      </c>
      <c r="F66" s="107">
        <f t="shared" si="0"/>
        <v>113</v>
      </c>
      <c r="H66" s="109">
        <f t="shared" si="1"/>
        <v>9.42</v>
      </c>
      <c r="P66" s="116"/>
    </row>
    <row r="67" spans="1:16" s="111" customFormat="1" ht="15">
      <c r="A67" s="110"/>
      <c r="B67" s="111">
        <v>1</v>
      </c>
      <c r="C67" s="111" t="str">
        <f>C66</f>
        <v>Ива козья, ломкая</v>
      </c>
      <c r="D67" s="112">
        <v>7</v>
      </c>
      <c r="E67" s="112">
        <f>ROUND(TREND(E62:E64,D62:D64,D67),0)</f>
        <v>7</v>
      </c>
      <c r="F67" s="113">
        <f t="shared" ref="F67:F131" si="2">ROUND(E67*E67*3.14/4,1)</f>
        <v>38.5</v>
      </c>
      <c r="G67" s="114"/>
      <c r="H67" s="115">
        <f t="shared" si="1"/>
        <v>5.5</v>
      </c>
    </row>
    <row r="68" spans="1:16" ht="15.75" customHeight="1">
      <c r="A68" s="103"/>
      <c r="B68" s="104">
        <v>1</v>
      </c>
      <c r="C68" s="105" t="s">
        <v>67</v>
      </c>
      <c r="D68" s="106">
        <v>5</v>
      </c>
      <c r="E68" s="106">
        <v>5</v>
      </c>
      <c r="F68" s="107">
        <f t="shared" si="2"/>
        <v>19.600000000000001</v>
      </c>
      <c r="G68" s="106">
        <v>10</v>
      </c>
      <c r="H68" s="109">
        <f t="shared" si="1"/>
        <v>3.92</v>
      </c>
      <c r="P68" s="116"/>
    </row>
    <row r="69" spans="1:16" ht="15.75" customHeight="1">
      <c r="A69" s="103"/>
      <c r="B69" s="104">
        <v>1</v>
      </c>
      <c r="C69" s="104" t="s">
        <v>67</v>
      </c>
      <c r="D69" s="106">
        <v>10</v>
      </c>
      <c r="E69" s="106">
        <v>10</v>
      </c>
      <c r="F69" s="107">
        <f t="shared" si="2"/>
        <v>78.5</v>
      </c>
      <c r="G69" s="106">
        <v>20</v>
      </c>
      <c r="H69" s="109">
        <f t="shared" si="1"/>
        <v>7.85</v>
      </c>
      <c r="P69" s="116"/>
    </row>
    <row r="70" spans="1:16" ht="15.75" customHeight="1">
      <c r="A70" s="103"/>
      <c r="B70" s="104">
        <v>1</v>
      </c>
      <c r="C70" s="104" t="s">
        <v>67</v>
      </c>
      <c r="D70" s="106">
        <v>20</v>
      </c>
      <c r="E70" s="106">
        <v>20</v>
      </c>
      <c r="F70" s="107">
        <f t="shared" si="2"/>
        <v>314</v>
      </c>
      <c r="G70" s="106">
        <v>40</v>
      </c>
      <c r="H70" s="109">
        <f t="shared" si="1"/>
        <v>15.7</v>
      </c>
      <c r="P70" s="116"/>
    </row>
    <row r="71" spans="1:16" ht="15.75" customHeight="1">
      <c r="A71" s="103"/>
      <c r="B71" s="104">
        <v>1</v>
      </c>
      <c r="C71" s="104" t="s">
        <v>67</v>
      </c>
      <c r="D71" s="106">
        <v>15</v>
      </c>
      <c r="E71" s="106">
        <v>15</v>
      </c>
      <c r="F71" s="107">
        <f>ROUND(E71*E71*3.14/4,1)</f>
        <v>176.6</v>
      </c>
      <c r="H71" s="109">
        <f t="shared" si="1"/>
        <v>11.77</v>
      </c>
      <c r="P71" s="116"/>
    </row>
    <row r="72" spans="1:16" ht="15.75" customHeight="1">
      <c r="A72" s="103"/>
      <c r="B72" s="104">
        <v>1</v>
      </c>
      <c r="C72" s="104" t="s">
        <v>67</v>
      </c>
      <c r="D72" s="106">
        <v>25</v>
      </c>
      <c r="E72" s="106">
        <v>25</v>
      </c>
      <c r="F72" s="107">
        <f t="shared" si="2"/>
        <v>490.6</v>
      </c>
      <c r="H72" s="109">
        <f t="shared" si="1"/>
        <v>19.62</v>
      </c>
      <c r="P72" s="116"/>
    </row>
    <row r="73" spans="1:16" s="111" customFormat="1" ht="15">
      <c r="A73" s="110"/>
      <c r="B73" s="111">
        <v>1</v>
      </c>
      <c r="C73" s="111" t="str">
        <f>C72</f>
        <v>Каштан конский</v>
      </c>
      <c r="D73" s="112">
        <v>6</v>
      </c>
      <c r="E73" s="112">
        <f>ROUND(TREND(E68:E70,D68:D70,D73),0)</f>
        <v>6</v>
      </c>
      <c r="F73" s="113">
        <f t="shared" si="2"/>
        <v>28.3</v>
      </c>
      <c r="G73" s="114"/>
      <c r="H73" s="115">
        <f t="shared" si="1"/>
        <v>4.72</v>
      </c>
    </row>
    <row r="74" spans="1:16" ht="15.75" customHeight="1">
      <c r="A74" s="103"/>
      <c r="B74" s="104">
        <v>1</v>
      </c>
      <c r="C74" s="105" t="s">
        <v>68</v>
      </c>
      <c r="D74" s="106">
        <v>2</v>
      </c>
      <c r="E74" s="106">
        <v>2</v>
      </c>
      <c r="F74" s="107">
        <f t="shared" si="2"/>
        <v>3.1</v>
      </c>
      <c r="G74" s="106">
        <v>5</v>
      </c>
      <c r="H74" s="109">
        <f t="shared" si="1"/>
        <v>1.55</v>
      </c>
      <c r="P74" s="116"/>
    </row>
    <row r="75" spans="1:16" ht="15.75" customHeight="1">
      <c r="A75" s="103"/>
      <c r="B75" s="104">
        <v>1</v>
      </c>
      <c r="C75" s="104" t="s">
        <v>68</v>
      </c>
      <c r="D75" s="106">
        <v>4</v>
      </c>
      <c r="E75" s="106">
        <v>4</v>
      </c>
      <c r="F75" s="107">
        <f t="shared" si="2"/>
        <v>12.6</v>
      </c>
      <c r="G75" s="106">
        <v>10</v>
      </c>
      <c r="H75" s="109">
        <f t="shared" si="1"/>
        <v>3.15</v>
      </c>
      <c r="P75" s="116"/>
    </row>
    <row r="76" spans="1:16" ht="15.75" customHeight="1">
      <c r="A76" s="103"/>
      <c r="B76" s="104">
        <v>1</v>
      </c>
      <c r="C76" s="104" t="s">
        <v>68</v>
      </c>
      <c r="D76" s="106">
        <v>5</v>
      </c>
      <c r="E76" s="106">
        <v>5</v>
      </c>
      <c r="F76" s="107">
        <f t="shared" si="2"/>
        <v>19.600000000000001</v>
      </c>
      <c r="G76" s="106">
        <v>20</v>
      </c>
      <c r="H76" s="109">
        <f t="shared" si="1"/>
        <v>3.92</v>
      </c>
      <c r="P76" s="116"/>
    </row>
    <row r="77" spans="1:16" ht="15.75" customHeight="1">
      <c r="A77" s="103"/>
      <c r="B77" s="104">
        <v>1</v>
      </c>
      <c r="C77" s="104" t="s">
        <v>68</v>
      </c>
      <c r="D77" s="106">
        <v>10</v>
      </c>
      <c r="E77" s="106">
        <v>10</v>
      </c>
      <c r="F77" s="107">
        <f t="shared" si="2"/>
        <v>78.5</v>
      </c>
      <c r="H77" s="109">
        <f t="shared" si="1"/>
        <v>7.85</v>
      </c>
      <c r="P77" s="116"/>
    </row>
    <row r="78" spans="1:16" ht="15.75" customHeight="1">
      <c r="A78" s="103"/>
      <c r="B78" s="104">
        <v>1</v>
      </c>
      <c r="C78" s="104" t="s">
        <v>68</v>
      </c>
      <c r="D78" s="106">
        <v>12</v>
      </c>
      <c r="E78" s="106">
        <v>12</v>
      </c>
      <c r="F78" s="107">
        <f t="shared" si="2"/>
        <v>113</v>
      </c>
      <c r="H78" s="109">
        <f t="shared" si="1"/>
        <v>9.42</v>
      </c>
      <c r="P78" s="116"/>
    </row>
    <row r="79" spans="1:16" s="111" customFormat="1" ht="15">
      <c r="A79" s="110"/>
      <c r="B79" s="111">
        <v>1</v>
      </c>
      <c r="C79" s="111" t="str">
        <f>C78</f>
        <v>Клен Гиннала</v>
      </c>
      <c r="D79" s="112"/>
      <c r="E79" s="112" t="e">
        <f>ROUND(TREND(E74:E76,D74:D76,D79),0)</f>
        <v>#VALUE!</v>
      </c>
      <c r="F79" s="113" t="e">
        <f t="shared" si="2"/>
        <v>#VALUE!</v>
      </c>
      <c r="G79" s="114"/>
      <c r="H79" s="115" t="e">
        <f t="shared" si="1"/>
        <v>#VALUE!</v>
      </c>
    </row>
    <row r="80" spans="1:16" ht="15.75" customHeight="1">
      <c r="A80" s="103"/>
      <c r="B80" s="104">
        <v>1</v>
      </c>
      <c r="C80" s="105" t="s">
        <v>69</v>
      </c>
      <c r="D80" s="106">
        <v>1</v>
      </c>
      <c r="E80" s="106">
        <v>2</v>
      </c>
      <c r="F80" s="107">
        <f t="shared" si="2"/>
        <v>3.1</v>
      </c>
      <c r="G80" s="106">
        <v>5</v>
      </c>
      <c r="H80" s="109">
        <f t="shared" si="1"/>
        <v>3.1</v>
      </c>
      <c r="P80" s="116"/>
    </row>
    <row r="81" spans="1:16" ht="15.75" customHeight="1">
      <c r="A81" s="103"/>
      <c r="B81" s="104">
        <v>1</v>
      </c>
      <c r="C81" s="104" t="s">
        <v>69</v>
      </c>
      <c r="D81" s="106">
        <v>1.5</v>
      </c>
      <c r="E81" s="106">
        <v>3</v>
      </c>
      <c r="F81" s="107">
        <f t="shared" si="2"/>
        <v>7.1</v>
      </c>
      <c r="G81" s="106">
        <v>10</v>
      </c>
      <c r="H81" s="109">
        <f t="shared" si="1"/>
        <v>4.7300000000000004</v>
      </c>
      <c r="P81" s="116"/>
    </row>
    <row r="82" spans="1:16" ht="15.75" customHeight="1">
      <c r="A82" s="103"/>
      <c r="B82" s="104">
        <v>1</v>
      </c>
      <c r="C82" s="104" t="s">
        <v>69</v>
      </c>
      <c r="D82" s="106">
        <v>3</v>
      </c>
      <c r="E82" s="106">
        <v>5</v>
      </c>
      <c r="F82" s="107">
        <f t="shared" si="2"/>
        <v>19.600000000000001</v>
      </c>
      <c r="G82" s="106">
        <v>20</v>
      </c>
      <c r="H82" s="109">
        <f t="shared" si="1"/>
        <v>6.53</v>
      </c>
      <c r="P82" s="116"/>
    </row>
    <row r="83" spans="1:16" ht="15.75" customHeight="1">
      <c r="A83" s="103"/>
      <c r="B83" s="104">
        <v>1</v>
      </c>
      <c r="C83" s="104" t="s">
        <v>69</v>
      </c>
      <c r="D83" s="106">
        <v>5</v>
      </c>
      <c r="E83" s="106">
        <v>8</v>
      </c>
      <c r="F83" s="107">
        <f t="shared" si="2"/>
        <v>50.2</v>
      </c>
      <c r="H83" s="109">
        <f t="shared" si="1"/>
        <v>10.039999999999999</v>
      </c>
      <c r="P83" s="116"/>
    </row>
    <row r="84" spans="1:16" ht="15.75" customHeight="1">
      <c r="A84" s="103"/>
      <c r="B84" s="104">
        <v>1</v>
      </c>
      <c r="C84" s="104" t="s">
        <v>69</v>
      </c>
      <c r="D84" s="106">
        <v>7</v>
      </c>
      <c r="E84" s="106">
        <v>11</v>
      </c>
      <c r="F84" s="107">
        <f t="shared" si="2"/>
        <v>95</v>
      </c>
      <c r="H84" s="109">
        <f t="shared" si="1"/>
        <v>13.57</v>
      </c>
      <c r="P84" s="116"/>
    </row>
    <row r="85" spans="1:16" ht="15.75" customHeight="1">
      <c r="A85" s="103"/>
      <c r="B85" s="104">
        <v>1</v>
      </c>
      <c r="C85" s="105" t="s">
        <v>70</v>
      </c>
      <c r="D85" s="106">
        <v>8</v>
      </c>
      <c r="E85" s="106">
        <v>5</v>
      </c>
      <c r="F85" s="107">
        <f t="shared" si="2"/>
        <v>19.600000000000001</v>
      </c>
      <c r="G85" s="106">
        <v>10</v>
      </c>
      <c r="H85" s="109">
        <f t="shared" si="1"/>
        <v>2.4500000000000002</v>
      </c>
      <c r="P85" s="116"/>
    </row>
    <row r="86" spans="1:16" ht="15.75" customHeight="1">
      <c r="A86" s="103"/>
      <c r="B86" s="104">
        <v>1</v>
      </c>
      <c r="C86" s="104" t="s">
        <v>70</v>
      </c>
      <c r="D86" s="106">
        <v>15</v>
      </c>
      <c r="E86" s="106">
        <v>10</v>
      </c>
      <c r="F86" s="107">
        <f t="shared" si="2"/>
        <v>78.5</v>
      </c>
      <c r="G86" s="106">
        <v>20</v>
      </c>
      <c r="H86" s="109">
        <f t="shared" si="1"/>
        <v>5.23</v>
      </c>
      <c r="P86" s="116"/>
    </row>
    <row r="87" spans="1:16" ht="15.75" customHeight="1">
      <c r="A87" s="103"/>
      <c r="B87" s="104">
        <v>1</v>
      </c>
      <c r="C87" s="104" t="s">
        <v>70</v>
      </c>
      <c r="D87" s="106">
        <v>20</v>
      </c>
      <c r="E87" s="106">
        <v>15</v>
      </c>
      <c r="F87" s="107">
        <f t="shared" si="2"/>
        <v>176.6</v>
      </c>
      <c r="G87" s="106">
        <v>40</v>
      </c>
      <c r="H87" s="109">
        <f t="shared" si="1"/>
        <v>8.83</v>
      </c>
      <c r="P87" s="116"/>
    </row>
    <row r="88" spans="1:16" ht="15.75" customHeight="1">
      <c r="A88" s="103"/>
      <c r="B88" s="104">
        <v>1</v>
      </c>
      <c r="C88" s="104" t="s">
        <v>70</v>
      </c>
      <c r="D88" s="106">
        <v>10</v>
      </c>
      <c r="E88" s="106">
        <v>6</v>
      </c>
      <c r="F88" s="107">
        <f t="shared" si="2"/>
        <v>28.3</v>
      </c>
      <c r="H88" s="109">
        <f t="shared" si="1"/>
        <v>2.83</v>
      </c>
      <c r="P88" s="116"/>
    </row>
    <row r="89" spans="1:16" ht="15.75" customHeight="1">
      <c r="A89" s="103"/>
      <c r="B89" s="104">
        <v>1</v>
      </c>
      <c r="C89" s="104" t="s">
        <v>70</v>
      </c>
      <c r="D89" s="106">
        <v>25</v>
      </c>
      <c r="E89" s="106">
        <v>19</v>
      </c>
      <c r="F89" s="107">
        <f t="shared" si="2"/>
        <v>283.39999999999998</v>
      </c>
      <c r="H89" s="109">
        <f t="shared" ref="H89:H157" si="3">ROUND(F89/D89,2)</f>
        <v>11.34</v>
      </c>
      <c r="P89" s="116"/>
    </row>
    <row r="90" spans="1:16" ht="15.75" customHeight="1">
      <c r="A90" s="103"/>
      <c r="B90" s="104">
        <v>1</v>
      </c>
      <c r="C90" s="105" t="s">
        <v>71</v>
      </c>
      <c r="D90" s="106">
        <v>6</v>
      </c>
      <c r="E90" s="106">
        <v>4</v>
      </c>
      <c r="F90" s="107">
        <f t="shared" si="2"/>
        <v>12.6</v>
      </c>
      <c r="G90" s="106">
        <v>10</v>
      </c>
      <c r="H90" s="109">
        <f t="shared" si="3"/>
        <v>2.1</v>
      </c>
      <c r="P90" s="116"/>
    </row>
    <row r="91" spans="1:16" ht="15.75" customHeight="1">
      <c r="A91" s="103"/>
      <c r="B91" s="104">
        <v>1</v>
      </c>
      <c r="C91" s="104" t="s">
        <v>71</v>
      </c>
      <c r="D91" s="106">
        <v>12</v>
      </c>
      <c r="E91" s="106">
        <v>8</v>
      </c>
      <c r="F91" s="107">
        <f t="shared" si="2"/>
        <v>50.2</v>
      </c>
      <c r="G91" s="106">
        <v>20</v>
      </c>
      <c r="H91" s="109">
        <f t="shared" si="3"/>
        <v>4.18</v>
      </c>
      <c r="P91" s="116"/>
    </row>
    <row r="92" spans="1:16" ht="15.75" customHeight="1">
      <c r="A92" s="103"/>
      <c r="B92" s="104">
        <v>1</v>
      </c>
      <c r="C92" s="104" t="s">
        <v>71</v>
      </c>
      <c r="D92" s="106">
        <v>20</v>
      </c>
      <c r="E92" s="106">
        <v>15</v>
      </c>
      <c r="F92" s="107">
        <f t="shared" si="2"/>
        <v>176.6</v>
      </c>
      <c r="G92" s="106">
        <v>40</v>
      </c>
      <c r="H92" s="109">
        <f t="shared" si="3"/>
        <v>8.83</v>
      </c>
      <c r="P92" s="116"/>
    </row>
    <row r="93" spans="1:16" ht="15.75" customHeight="1">
      <c r="A93" s="103"/>
      <c r="B93" s="104">
        <v>1</v>
      </c>
      <c r="C93" s="104" t="s">
        <v>71</v>
      </c>
      <c r="D93" s="106">
        <v>16</v>
      </c>
      <c r="E93" s="106">
        <v>12</v>
      </c>
      <c r="F93" s="107">
        <f t="shared" si="2"/>
        <v>113</v>
      </c>
      <c r="H93" s="109">
        <f t="shared" si="3"/>
        <v>7.06</v>
      </c>
      <c r="P93" s="116"/>
    </row>
    <row r="94" spans="1:16" ht="15.75" customHeight="1">
      <c r="A94" s="103"/>
      <c r="B94" s="104">
        <v>1</v>
      </c>
      <c r="C94" s="104" t="s">
        <v>71</v>
      </c>
      <c r="D94" s="106">
        <v>25</v>
      </c>
      <c r="E94" s="106">
        <v>19</v>
      </c>
      <c r="F94" s="107">
        <f t="shared" si="2"/>
        <v>283.39999999999998</v>
      </c>
      <c r="H94" s="109">
        <f t="shared" si="3"/>
        <v>11.34</v>
      </c>
      <c r="P94" s="116"/>
    </row>
    <row r="95" spans="1:16" s="111" customFormat="1" ht="15">
      <c r="A95" s="110"/>
      <c r="B95" s="111">
        <v>1</v>
      </c>
      <c r="C95" s="111" t="str">
        <f>C94</f>
        <v>Клен остролистный</v>
      </c>
      <c r="D95" s="112">
        <v>9</v>
      </c>
      <c r="E95" s="112">
        <f>ROUND(TREND(E90:E92,D90:D92,D95),0)</f>
        <v>6</v>
      </c>
      <c r="F95" s="113">
        <f t="shared" si="2"/>
        <v>28.3</v>
      </c>
      <c r="G95" s="114"/>
      <c r="H95" s="115">
        <f t="shared" si="3"/>
        <v>3.14</v>
      </c>
    </row>
    <row r="96" spans="1:16" ht="15.75" customHeight="1">
      <c r="A96" s="103"/>
      <c r="B96" s="104">
        <v>1</v>
      </c>
      <c r="C96" s="105" t="s">
        <v>72</v>
      </c>
      <c r="D96" s="106">
        <v>5</v>
      </c>
      <c r="E96" s="106">
        <v>4</v>
      </c>
      <c r="F96" s="107">
        <f t="shared" si="2"/>
        <v>12.6</v>
      </c>
      <c r="G96" s="106">
        <v>10</v>
      </c>
      <c r="H96" s="109">
        <f t="shared" si="3"/>
        <v>2.52</v>
      </c>
      <c r="P96" s="116"/>
    </row>
    <row r="97" spans="1:16" ht="15.75" customHeight="1">
      <c r="A97" s="103"/>
      <c r="B97" s="104">
        <v>1</v>
      </c>
      <c r="C97" s="104" t="s">
        <v>72</v>
      </c>
      <c r="D97" s="106">
        <v>10</v>
      </c>
      <c r="E97" s="106">
        <v>8</v>
      </c>
      <c r="F97" s="107">
        <f t="shared" si="2"/>
        <v>50.2</v>
      </c>
      <c r="G97" s="106">
        <v>20</v>
      </c>
      <c r="H97" s="109">
        <f t="shared" si="3"/>
        <v>5.0199999999999996</v>
      </c>
      <c r="P97" s="116"/>
    </row>
    <row r="98" spans="1:16" ht="15.75" customHeight="1">
      <c r="A98" s="103"/>
      <c r="B98" s="104">
        <v>1</v>
      </c>
      <c r="C98" s="104" t="s">
        <v>72</v>
      </c>
      <c r="D98" s="106">
        <v>15</v>
      </c>
      <c r="E98" s="106">
        <v>12</v>
      </c>
      <c r="F98" s="107">
        <f t="shared" si="2"/>
        <v>113</v>
      </c>
      <c r="G98" s="106">
        <v>40</v>
      </c>
      <c r="H98" s="109">
        <f t="shared" si="3"/>
        <v>7.53</v>
      </c>
      <c r="P98" s="116"/>
    </row>
    <row r="99" spans="1:16" ht="15.75" customHeight="1">
      <c r="A99" s="103"/>
      <c r="B99" s="104">
        <v>1</v>
      </c>
      <c r="C99" s="104" t="s">
        <v>72</v>
      </c>
      <c r="D99" s="106">
        <v>20</v>
      </c>
      <c r="E99" s="106">
        <v>16</v>
      </c>
      <c r="F99" s="107">
        <f t="shared" si="2"/>
        <v>201</v>
      </c>
      <c r="H99" s="109">
        <f t="shared" si="3"/>
        <v>10.050000000000001</v>
      </c>
      <c r="P99" s="116"/>
    </row>
    <row r="100" spans="1:16" ht="15.75" customHeight="1">
      <c r="A100" s="103"/>
      <c r="B100" s="104">
        <v>1</v>
      </c>
      <c r="C100" s="104" t="s">
        <v>72</v>
      </c>
      <c r="D100" s="106">
        <v>25</v>
      </c>
      <c r="E100" s="106">
        <v>20</v>
      </c>
      <c r="F100" s="107">
        <f t="shared" si="2"/>
        <v>314</v>
      </c>
      <c r="H100" s="109">
        <f t="shared" si="3"/>
        <v>12.56</v>
      </c>
      <c r="P100" s="116"/>
    </row>
    <row r="101" spans="1:16" ht="15.75" customHeight="1">
      <c r="A101" s="103"/>
      <c r="B101" s="104">
        <v>1</v>
      </c>
      <c r="C101" s="105" t="s">
        <v>73</v>
      </c>
      <c r="D101" s="106">
        <v>5</v>
      </c>
      <c r="E101" s="106">
        <v>3</v>
      </c>
      <c r="F101" s="107">
        <f t="shared" si="2"/>
        <v>7.1</v>
      </c>
      <c r="G101" s="106">
        <v>10</v>
      </c>
      <c r="H101" s="109">
        <f t="shared" si="3"/>
        <v>1.42</v>
      </c>
      <c r="P101" s="116"/>
    </row>
    <row r="102" spans="1:16" ht="15.75" customHeight="1">
      <c r="A102" s="103"/>
      <c r="B102" s="104">
        <v>1</v>
      </c>
      <c r="C102" s="104" t="s">
        <v>73</v>
      </c>
      <c r="D102" s="106">
        <v>10</v>
      </c>
      <c r="E102" s="106">
        <v>5</v>
      </c>
      <c r="F102" s="107">
        <f t="shared" si="2"/>
        <v>19.600000000000001</v>
      </c>
      <c r="G102" s="106">
        <v>20</v>
      </c>
      <c r="H102" s="109">
        <f t="shared" si="3"/>
        <v>1.96</v>
      </c>
      <c r="P102" s="116"/>
    </row>
    <row r="103" spans="1:16" ht="15.75" customHeight="1">
      <c r="A103" s="103"/>
      <c r="B103" s="104">
        <v>1</v>
      </c>
      <c r="C103" s="104" t="s">
        <v>73</v>
      </c>
      <c r="D103" s="106">
        <v>20</v>
      </c>
      <c r="E103" s="106">
        <v>10</v>
      </c>
      <c r="F103" s="107">
        <f t="shared" si="2"/>
        <v>78.5</v>
      </c>
      <c r="G103" s="106">
        <v>40</v>
      </c>
      <c r="H103" s="109">
        <f t="shared" si="3"/>
        <v>3.93</v>
      </c>
      <c r="P103" s="116"/>
    </row>
    <row r="104" spans="1:16" ht="15.75" customHeight="1">
      <c r="A104" s="103"/>
      <c r="B104" s="104">
        <v>1</v>
      </c>
      <c r="C104" s="104" t="s">
        <v>73</v>
      </c>
      <c r="D104" s="106">
        <v>15</v>
      </c>
      <c r="E104" s="106">
        <v>8</v>
      </c>
      <c r="F104" s="107">
        <f t="shared" si="2"/>
        <v>50.2</v>
      </c>
      <c r="H104" s="109">
        <f t="shared" si="3"/>
        <v>3.35</v>
      </c>
      <c r="P104" s="116"/>
    </row>
    <row r="105" spans="1:16" ht="15.75" customHeight="1">
      <c r="A105" s="103"/>
      <c r="B105" s="104">
        <v>1</v>
      </c>
      <c r="C105" s="104" t="s">
        <v>73</v>
      </c>
      <c r="D105" s="106">
        <v>25</v>
      </c>
      <c r="E105" s="106">
        <v>12</v>
      </c>
      <c r="F105" s="107">
        <f t="shared" si="2"/>
        <v>113</v>
      </c>
      <c r="H105" s="109">
        <f t="shared" si="3"/>
        <v>4.5199999999999996</v>
      </c>
      <c r="P105" s="116"/>
    </row>
    <row r="106" spans="1:16" ht="15.75" customHeight="1">
      <c r="A106" s="103"/>
      <c r="B106" s="104">
        <v>1</v>
      </c>
      <c r="C106" s="105" t="s">
        <v>74</v>
      </c>
      <c r="D106" s="106">
        <v>5</v>
      </c>
      <c r="E106" s="106">
        <v>4</v>
      </c>
      <c r="F106" s="107">
        <f t="shared" si="2"/>
        <v>12.6</v>
      </c>
      <c r="G106" s="108">
        <v>10</v>
      </c>
      <c r="H106" s="109">
        <f t="shared" si="3"/>
        <v>2.52</v>
      </c>
      <c r="P106" s="116"/>
    </row>
    <row r="107" spans="1:16" ht="15.75" customHeight="1">
      <c r="A107" s="103"/>
      <c r="B107" s="104">
        <v>1</v>
      </c>
      <c r="C107" s="104" t="s">
        <v>74</v>
      </c>
      <c r="D107" s="106">
        <v>12</v>
      </c>
      <c r="E107" s="106">
        <v>8</v>
      </c>
      <c r="F107" s="107">
        <f t="shared" si="2"/>
        <v>50.2</v>
      </c>
      <c r="G107" s="108">
        <v>20</v>
      </c>
      <c r="H107" s="109">
        <f t="shared" si="3"/>
        <v>4.18</v>
      </c>
      <c r="P107" s="116"/>
    </row>
    <row r="108" spans="1:16" ht="15.75" customHeight="1">
      <c r="A108" s="103"/>
      <c r="B108" s="104">
        <v>1</v>
      </c>
      <c r="C108" s="104" t="s">
        <v>74</v>
      </c>
      <c r="D108" s="106">
        <v>20</v>
      </c>
      <c r="E108" s="106">
        <v>16</v>
      </c>
      <c r="F108" s="107">
        <f t="shared" si="2"/>
        <v>201</v>
      </c>
      <c r="G108" s="108">
        <v>40</v>
      </c>
      <c r="H108" s="109">
        <f t="shared" si="3"/>
        <v>10.050000000000001</v>
      </c>
    </row>
    <row r="109" spans="1:16" ht="15.75" customHeight="1">
      <c r="A109" s="103"/>
      <c r="B109" s="104">
        <v>1</v>
      </c>
      <c r="C109" s="104" t="s">
        <v>74</v>
      </c>
      <c r="D109" s="106">
        <v>10</v>
      </c>
      <c r="E109" s="106">
        <v>7</v>
      </c>
      <c r="F109" s="107">
        <f t="shared" si="2"/>
        <v>38.5</v>
      </c>
      <c r="G109" s="108"/>
      <c r="H109" s="109">
        <f t="shared" si="3"/>
        <v>3.85</v>
      </c>
    </row>
    <row r="110" spans="1:16">
      <c r="A110" s="103"/>
      <c r="B110" s="104">
        <v>1</v>
      </c>
      <c r="C110" s="104" t="s">
        <v>74</v>
      </c>
      <c r="D110" s="106">
        <v>25</v>
      </c>
      <c r="E110" s="106">
        <v>20</v>
      </c>
      <c r="F110" s="107">
        <f t="shared" si="2"/>
        <v>314</v>
      </c>
      <c r="G110" s="108"/>
      <c r="H110" s="109">
        <f t="shared" si="3"/>
        <v>12.56</v>
      </c>
    </row>
    <row r="111" spans="1:16" s="111" customFormat="1" ht="15">
      <c r="A111" s="110"/>
      <c r="B111" s="111">
        <v>1</v>
      </c>
      <c r="C111" s="111" t="str">
        <f>C110</f>
        <v>Липа мелколистная</v>
      </c>
      <c r="D111" s="112">
        <v>8</v>
      </c>
      <c r="E111" s="112">
        <f>ROUND(TREND(E106:E108,D106:D108,D111),0)</f>
        <v>6</v>
      </c>
      <c r="F111" s="113">
        <f t="shared" si="2"/>
        <v>28.3</v>
      </c>
      <c r="G111" s="114"/>
      <c r="H111" s="115">
        <f t="shared" si="3"/>
        <v>3.54</v>
      </c>
    </row>
    <row r="112" spans="1:16" ht="15">
      <c r="A112" s="103"/>
      <c r="B112" s="104">
        <v>1</v>
      </c>
      <c r="C112" s="105" t="s">
        <v>75</v>
      </c>
      <c r="D112" s="106">
        <v>2</v>
      </c>
      <c r="E112" s="106">
        <v>2</v>
      </c>
      <c r="F112" s="107">
        <f t="shared" si="2"/>
        <v>3.1</v>
      </c>
      <c r="G112" s="108">
        <v>5</v>
      </c>
      <c r="H112" s="109">
        <f t="shared" si="3"/>
        <v>1.55</v>
      </c>
    </row>
    <row r="113" spans="1:8">
      <c r="A113" s="103"/>
      <c r="B113" s="104">
        <v>1</v>
      </c>
      <c r="C113" s="104" t="s">
        <v>75</v>
      </c>
      <c r="D113" s="106">
        <v>3</v>
      </c>
      <c r="E113" s="106">
        <v>3</v>
      </c>
      <c r="F113" s="107">
        <f t="shared" si="2"/>
        <v>7.1</v>
      </c>
      <c r="G113" s="108">
        <v>10</v>
      </c>
      <c r="H113" s="109">
        <f t="shared" si="3"/>
        <v>2.37</v>
      </c>
    </row>
    <row r="114" spans="1:8">
      <c r="A114" s="103"/>
      <c r="B114" s="104">
        <v>1</v>
      </c>
      <c r="C114" s="104" t="s">
        <v>75</v>
      </c>
      <c r="D114" s="106">
        <v>6</v>
      </c>
      <c r="E114" s="106">
        <v>5</v>
      </c>
      <c r="F114" s="107">
        <f t="shared" si="2"/>
        <v>19.600000000000001</v>
      </c>
      <c r="G114" s="108">
        <v>20</v>
      </c>
      <c r="H114" s="109">
        <f t="shared" si="3"/>
        <v>3.27</v>
      </c>
    </row>
    <row r="115" spans="1:8">
      <c r="A115" s="103"/>
      <c r="B115" s="104">
        <v>1</v>
      </c>
      <c r="C115" s="104" t="s">
        <v>75</v>
      </c>
      <c r="D115" s="106">
        <v>8</v>
      </c>
      <c r="E115" s="106">
        <v>7</v>
      </c>
      <c r="F115" s="107">
        <f t="shared" si="2"/>
        <v>38.5</v>
      </c>
      <c r="G115" s="108"/>
      <c r="H115" s="109">
        <f t="shared" si="3"/>
        <v>4.8099999999999996</v>
      </c>
    </row>
    <row r="116" spans="1:8" ht="15">
      <c r="A116" s="103"/>
      <c r="B116" s="104">
        <v>1</v>
      </c>
      <c r="C116" s="105" t="s">
        <v>76</v>
      </c>
      <c r="D116" s="106">
        <v>3</v>
      </c>
      <c r="E116" s="106">
        <v>2</v>
      </c>
      <c r="F116" s="107">
        <f t="shared" si="2"/>
        <v>3.1</v>
      </c>
      <c r="G116" s="108">
        <v>5</v>
      </c>
      <c r="H116" s="109">
        <f t="shared" si="3"/>
        <v>1.03</v>
      </c>
    </row>
    <row r="117" spans="1:8">
      <c r="A117" s="103"/>
      <c r="B117" s="104">
        <v>1</v>
      </c>
      <c r="C117" s="104" t="s">
        <v>76</v>
      </c>
      <c r="D117" s="106">
        <v>5</v>
      </c>
      <c r="E117" s="106">
        <v>4</v>
      </c>
      <c r="F117" s="107">
        <f t="shared" si="2"/>
        <v>12.6</v>
      </c>
      <c r="G117" s="108">
        <v>10</v>
      </c>
      <c r="H117" s="109">
        <f t="shared" si="3"/>
        <v>2.52</v>
      </c>
    </row>
    <row r="118" spans="1:8">
      <c r="A118" s="103"/>
      <c r="B118" s="104">
        <v>1</v>
      </c>
      <c r="C118" s="104" t="s">
        <v>76</v>
      </c>
      <c r="D118" s="106">
        <v>10</v>
      </c>
      <c r="E118" s="106">
        <v>8</v>
      </c>
      <c r="F118" s="107">
        <f t="shared" si="2"/>
        <v>50.2</v>
      </c>
      <c r="G118" s="108">
        <v>20</v>
      </c>
      <c r="H118" s="109">
        <f t="shared" si="3"/>
        <v>5.0199999999999996</v>
      </c>
    </row>
    <row r="119" spans="1:8">
      <c r="A119" s="103"/>
      <c r="B119" s="104">
        <v>1</v>
      </c>
      <c r="C119" s="104" t="s">
        <v>76</v>
      </c>
      <c r="D119" s="106">
        <v>15</v>
      </c>
      <c r="E119" s="106">
        <v>12</v>
      </c>
      <c r="F119" s="107">
        <f t="shared" si="2"/>
        <v>113</v>
      </c>
      <c r="G119" s="108"/>
      <c r="H119" s="109">
        <f t="shared" si="3"/>
        <v>7.53</v>
      </c>
    </row>
    <row r="120" spans="1:8">
      <c r="A120" s="103"/>
      <c r="B120" s="104">
        <v>1</v>
      </c>
      <c r="C120" s="104" t="s">
        <v>76</v>
      </c>
      <c r="D120" s="106">
        <v>20</v>
      </c>
      <c r="E120" s="106">
        <v>17</v>
      </c>
      <c r="F120" s="107">
        <f t="shared" si="2"/>
        <v>226.9</v>
      </c>
      <c r="G120" s="108"/>
      <c r="H120" s="109">
        <f t="shared" si="3"/>
        <v>11.35</v>
      </c>
    </row>
    <row r="121" spans="1:8">
      <c r="A121" s="103"/>
      <c r="B121" s="104">
        <v>1</v>
      </c>
      <c r="C121" s="104" t="s">
        <v>76</v>
      </c>
      <c r="D121" s="106">
        <v>25</v>
      </c>
      <c r="E121" s="106">
        <v>21</v>
      </c>
      <c r="F121" s="107">
        <f t="shared" si="2"/>
        <v>346.2</v>
      </c>
      <c r="G121" s="108"/>
      <c r="H121" s="109">
        <f t="shared" si="3"/>
        <v>13.85</v>
      </c>
    </row>
    <row r="122" spans="1:8" s="111" customFormat="1" ht="15">
      <c r="A122" s="110"/>
      <c r="B122" s="111">
        <v>1</v>
      </c>
      <c r="C122" s="111" t="str">
        <f>C121</f>
        <v>Ольха серая, черная</v>
      </c>
      <c r="D122" s="112">
        <v>12</v>
      </c>
      <c r="E122" s="112">
        <f>ROUND(TREND(E116:E118,D116:D118,D122),0)</f>
        <v>10</v>
      </c>
      <c r="F122" s="113">
        <f t="shared" si="2"/>
        <v>78.5</v>
      </c>
      <c r="G122" s="114"/>
      <c r="H122" s="115">
        <f t="shared" si="3"/>
        <v>6.54</v>
      </c>
    </row>
    <row r="123" spans="1:8" ht="15">
      <c r="A123" s="103"/>
      <c r="B123" s="104">
        <v>1</v>
      </c>
      <c r="C123" s="105" t="s">
        <v>77</v>
      </c>
      <c r="D123" s="106">
        <v>5</v>
      </c>
      <c r="E123" s="106">
        <v>3</v>
      </c>
      <c r="F123" s="107">
        <f t="shared" si="2"/>
        <v>7.1</v>
      </c>
      <c r="G123" s="108">
        <v>10</v>
      </c>
      <c r="H123" s="109">
        <f t="shared" si="3"/>
        <v>1.42</v>
      </c>
    </row>
    <row r="124" spans="1:8">
      <c r="A124" s="103"/>
      <c r="B124" s="104">
        <v>1</v>
      </c>
      <c r="C124" s="104" t="s">
        <v>77</v>
      </c>
      <c r="D124" s="106">
        <v>10</v>
      </c>
      <c r="E124" s="106">
        <v>5</v>
      </c>
      <c r="F124" s="107">
        <f t="shared" si="2"/>
        <v>19.600000000000001</v>
      </c>
      <c r="G124" s="108">
        <v>20</v>
      </c>
      <c r="H124" s="109">
        <f t="shared" si="3"/>
        <v>1.96</v>
      </c>
    </row>
    <row r="125" spans="1:8">
      <c r="A125" s="103"/>
      <c r="B125" s="104">
        <v>1</v>
      </c>
      <c r="C125" s="104" t="s">
        <v>77</v>
      </c>
      <c r="D125" s="106">
        <v>20</v>
      </c>
      <c r="E125" s="106">
        <v>10</v>
      </c>
      <c r="F125" s="107">
        <f t="shared" si="2"/>
        <v>78.5</v>
      </c>
      <c r="G125" s="108">
        <v>40</v>
      </c>
      <c r="H125" s="109">
        <f t="shared" si="3"/>
        <v>3.93</v>
      </c>
    </row>
    <row r="126" spans="1:8">
      <c r="A126" s="103"/>
      <c r="B126" s="104">
        <v>1</v>
      </c>
      <c r="C126" s="104" t="s">
        <v>77</v>
      </c>
      <c r="D126" s="106">
        <v>15</v>
      </c>
      <c r="E126" s="106">
        <v>8</v>
      </c>
      <c r="F126" s="107">
        <f t="shared" si="2"/>
        <v>50.2</v>
      </c>
      <c r="G126" s="108"/>
      <c r="H126" s="109">
        <f t="shared" si="3"/>
        <v>3.35</v>
      </c>
    </row>
    <row r="127" spans="1:8">
      <c r="A127" s="103"/>
      <c r="B127" s="104">
        <v>1</v>
      </c>
      <c r="C127" s="104" t="s">
        <v>77</v>
      </c>
      <c r="D127" s="106">
        <v>25</v>
      </c>
      <c r="E127" s="106">
        <v>12</v>
      </c>
      <c r="F127" s="107">
        <f t="shared" si="2"/>
        <v>113</v>
      </c>
      <c r="G127" s="108"/>
      <c r="H127" s="109">
        <f t="shared" si="3"/>
        <v>4.5199999999999996</v>
      </c>
    </row>
    <row r="128" spans="1:8" ht="15">
      <c r="A128" s="103"/>
      <c r="B128" s="104">
        <v>1</v>
      </c>
      <c r="C128" s="105" t="s">
        <v>78</v>
      </c>
      <c r="D128" s="106">
        <v>2</v>
      </c>
      <c r="E128" s="106">
        <v>1</v>
      </c>
      <c r="F128" s="107">
        <f t="shared" si="2"/>
        <v>0.8</v>
      </c>
      <c r="G128" s="108">
        <v>10</v>
      </c>
      <c r="H128" s="109">
        <f t="shared" si="3"/>
        <v>0.4</v>
      </c>
    </row>
    <row r="129" spans="1:8">
      <c r="A129" s="103"/>
      <c r="B129" s="104">
        <v>1</v>
      </c>
      <c r="C129" s="104" t="s">
        <v>78</v>
      </c>
      <c r="D129" s="106">
        <v>5</v>
      </c>
      <c r="E129" s="106">
        <v>3</v>
      </c>
      <c r="F129" s="107">
        <f t="shared" si="2"/>
        <v>7.1</v>
      </c>
      <c r="G129" s="108">
        <v>20</v>
      </c>
      <c r="H129" s="109">
        <f t="shared" si="3"/>
        <v>1.42</v>
      </c>
    </row>
    <row r="130" spans="1:8">
      <c r="A130" s="103"/>
      <c r="B130" s="104">
        <v>1</v>
      </c>
      <c r="C130" s="104" t="s">
        <v>78</v>
      </c>
      <c r="D130" s="106">
        <v>15</v>
      </c>
      <c r="E130" s="106">
        <v>6</v>
      </c>
      <c r="F130" s="107">
        <f t="shared" si="2"/>
        <v>28.3</v>
      </c>
      <c r="G130" s="108">
        <v>40</v>
      </c>
      <c r="H130" s="109">
        <f t="shared" si="3"/>
        <v>1.89</v>
      </c>
    </row>
    <row r="131" spans="1:8">
      <c r="A131" s="103"/>
      <c r="B131" s="104">
        <v>1</v>
      </c>
      <c r="C131" s="104" t="s">
        <v>78</v>
      </c>
      <c r="D131" s="106">
        <v>17</v>
      </c>
      <c r="E131" s="106">
        <v>8</v>
      </c>
      <c r="F131" s="107">
        <f t="shared" si="2"/>
        <v>50.2</v>
      </c>
      <c r="G131" s="108">
        <v>60</v>
      </c>
      <c r="H131" s="109">
        <f t="shared" si="3"/>
        <v>2.95</v>
      </c>
    </row>
    <row r="132" spans="1:8">
      <c r="A132" s="103"/>
      <c r="B132" s="104">
        <v>1</v>
      </c>
      <c r="C132" s="104" t="s">
        <v>78</v>
      </c>
      <c r="D132" s="106">
        <v>20</v>
      </c>
      <c r="E132" s="106">
        <v>9</v>
      </c>
      <c r="F132" s="107">
        <f t="shared" ref="F132:F177" si="4">ROUND(E132*E132*3.14/4,1)</f>
        <v>63.6</v>
      </c>
      <c r="G132" s="108"/>
      <c r="H132" s="109">
        <f t="shared" si="3"/>
        <v>3.18</v>
      </c>
    </row>
    <row r="133" spans="1:8" ht="15">
      <c r="A133" s="103"/>
      <c r="B133" s="104">
        <v>1</v>
      </c>
      <c r="C133" s="105" t="s">
        <v>79</v>
      </c>
      <c r="D133" s="106">
        <v>4</v>
      </c>
      <c r="E133" s="106">
        <v>3</v>
      </c>
      <c r="F133" s="107">
        <f t="shared" si="4"/>
        <v>7.1</v>
      </c>
      <c r="G133" s="108">
        <v>10</v>
      </c>
      <c r="H133" s="109">
        <f t="shared" si="3"/>
        <v>1.78</v>
      </c>
    </row>
    <row r="134" spans="1:8">
      <c r="A134" s="103"/>
      <c r="B134" s="104">
        <v>1</v>
      </c>
      <c r="C134" s="104" t="s">
        <v>79</v>
      </c>
      <c r="D134" s="106">
        <v>8</v>
      </c>
      <c r="E134" s="106">
        <v>6</v>
      </c>
      <c r="F134" s="107">
        <f t="shared" si="4"/>
        <v>28.3</v>
      </c>
      <c r="G134" s="108">
        <v>20</v>
      </c>
      <c r="H134" s="109">
        <f t="shared" si="3"/>
        <v>3.54</v>
      </c>
    </row>
    <row r="135" spans="1:8">
      <c r="A135" s="103"/>
      <c r="B135" s="104">
        <v>1</v>
      </c>
      <c r="C135" s="104" t="s">
        <v>79</v>
      </c>
      <c r="D135" s="106">
        <v>20</v>
      </c>
      <c r="E135" s="106">
        <v>16</v>
      </c>
      <c r="F135" s="107">
        <f t="shared" si="4"/>
        <v>201</v>
      </c>
      <c r="G135" s="108">
        <v>40</v>
      </c>
      <c r="H135" s="109">
        <f t="shared" si="3"/>
        <v>10.050000000000001</v>
      </c>
    </row>
    <row r="136" spans="1:8">
      <c r="A136" s="103"/>
      <c r="B136" s="104">
        <v>1</v>
      </c>
      <c r="C136" s="104" t="s">
        <v>79</v>
      </c>
      <c r="D136" s="106">
        <v>20</v>
      </c>
      <c r="E136" s="106">
        <v>14</v>
      </c>
      <c r="F136" s="107">
        <f t="shared" si="4"/>
        <v>153.9</v>
      </c>
      <c r="G136" s="108"/>
      <c r="H136" s="109">
        <f t="shared" si="3"/>
        <v>7.7</v>
      </c>
    </row>
    <row r="137" spans="1:8">
      <c r="A137" s="103"/>
      <c r="B137" s="104">
        <v>1</v>
      </c>
      <c r="C137" s="104" t="s">
        <v>79</v>
      </c>
      <c r="D137" s="106">
        <v>25</v>
      </c>
      <c r="E137" s="106">
        <v>17</v>
      </c>
      <c r="F137" s="107">
        <f t="shared" si="4"/>
        <v>226.9</v>
      </c>
      <c r="G137" s="108"/>
      <c r="H137" s="109">
        <f t="shared" si="3"/>
        <v>9.08</v>
      </c>
    </row>
    <row r="138" spans="1:8" ht="15">
      <c r="A138" s="103"/>
      <c r="B138" s="104">
        <v>1</v>
      </c>
      <c r="C138" s="105" t="s">
        <v>80</v>
      </c>
      <c r="D138" s="106">
        <v>2</v>
      </c>
      <c r="E138" s="106">
        <v>1</v>
      </c>
      <c r="F138" s="107">
        <f t="shared" si="4"/>
        <v>0.8</v>
      </c>
      <c r="G138" s="108">
        <v>3</v>
      </c>
      <c r="H138" s="109">
        <f t="shared" si="3"/>
        <v>0.4</v>
      </c>
    </row>
    <row r="139" spans="1:8">
      <c r="A139" s="103"/>
      <c r="B139" s="104">
        <v>1</v>
      </c>
      <c r="C139" s="104" t="s">
        <v>80</v>
      </c>
      <c r="D139" s="106">
        <v>4</v>
      </c>
      <c r="E139" s="106">
        <v>3</v>
      </c>
      <c r="F139" s="107">
        <f t="shared" si="4"/>
        <v>7.1</v>
      </c>
      <c r="G139" s="108">
        <v>5</v>
      </c>
      <c r="H139" s="109">
        <f t="shared" si="3"/>
        <v>1.78</v>
      </c>
    </row>
    <row r="140" spans="1:8">
      <c r="A140" s="103"/>
      <c r="B140" s="104">
        <v>1</v>
      </c>
      <c r="C140" s="104" t="s">
        <v>80</v>
      </c>
      <c r="D140" s="106">
        <v>8</v>
      </c>
      <c r="E140" s="106">
        <v>6</v>
      </c>
      <c r="F140" s="107">
        <f t="shared" si="4"/>
        <v>28.3</v>
      </c>
      <c r="G140" s="108">
        <v>10</v>
      </c>
      <c r="H140" s="109">
        <f t="shared" si="3"/>
        <v>3.54</v>
      </c>
    </row>
    <row r="141" spans="1:8">
      <c r="A141" s="103"/>
      <c r="B141" s="104">
        <v>1</v>
      </c>
      <c r="C141" s="104" t="s">
        <v>80</v>
      </c>
      <c r="D141" s="106">
        <v>10</v>
      </c>
      <c r="E141" s="106">
        <v>8</v>
      </c>
      <c r="F141" s="107">
        <f t="shared" si="4"/>
        <v>50.2</v>
      </c>
      <c r="G141" s="108"/>
      <c r="H141" s="109">
        <f t="shared" si="3"/>
        <v>5.0199999999999996</v>
      </c>
    </row>
    <row r="142" spans="1:8">
      <c r="A142" s="103"/>
      <c r="B142" s="104">
        <v>1</v>
      </c>
      <c r="C142" s="104" t="s">
        <v>80</v>
      </c>
      <c r="D142" s="106">
        <v>12</v>
      </c>
      <c r="E142" s="106">
        <v>9</v>
      </c>
      <c r="F142" s="107">
        <f t="shared" si="4"/>
        <v>63.6</v>
      </c>
      <c r="G142" s="108"/>
      <c r="H142" s="109">
        <f t="shared" si="3"/>
        <v>5.3</v>
      </c>
    </row>
    <row r="143" spans="1:8">
      <c r="A143" s="103"/>
      <c r="B143" s="104">
        <v>1</v>
      </c>
      <c r="C143" s="104" t="str">
        <f>C142</f>
        <v>Рябина обыкновенная</v>
      </c>
      <c r="D143" s="106">
        <v>5</v>
      </c>
      <c r="E143" s="106">
        <f>ROUND(TREND(E138:E140,D138:D140,D143),0)</f>
        <v>4</v>
      </c>
      <c r="F143" s="107">
        <f t="shared" si="4"/>
        <v>12.6</v>
      </c>
      <c r="G143" s="108"/>
      <c r="H143" s="109">
        <f t="shared" si="3"/>
        <v>2.52</v>
      </c>
    </row>
    <row r="144" spans="1:8" ht="15">
      <c r="A144" s="103"/>
      <c r="B144" s="104">
        <v>1</v>
      </c>
      <c r="C144" s="105" t="s">
        <v>81</v>
      </c>
      <c r="D144" s="106">
        <v>2</v>
      </c>
      <c r="E144" s="106">
        <v>1</v>
      </c>
      <c r="F144" s="107">
        <f t="shared" si="4"/>
        <v>0.8</v>
      </c>
      <c r="G144" s="108">
        <v>5</v>
      </c>
      <c r="H144" s="109">
        <f t="shared" si="3"/>
        <v>0.4</v>
      </c>
    </row>
    <row r="145" spans="1:8">
      <c r="A145" s="103"/>
      <c r="B145" s="104">
        <v>1</v>
      </c>
      <c r="C145" s="104" t="s">
        <v>81</v>
      </c>
      <c r="D145" s="106">
        <v>4</v>
      </c>
      <c r="E145" s="106">
        <v>3</v>
      </c>
      <c r="F145" s="107">
        <f t="shared" si="4"/>
        <v>7.1</v>
      </c>
      <c r="G145" s="108">
        <v>10</v>
      </c>
      <c r="H145" s="109">
        <f t="shared" si="3"/>
        <v>1.78</v>
      </c>
    </row>
    <row r="146" spans="1:8">
      <c r="A146" s="103"/>
      <c r="B146" s="104">
        <v>1</v>
      </c>
      <c r="C146" s="104" t="s">
        <v>81</v>
      </c>
      <c r="D146" s="106">
        <v>8</v>
      </c>
      <c r="E146" s="106">
        <v>6</v>
      </c>
      <c r="F146" s="107">
        <f t="shared" si="4"/>
        <v>28.3</v>
      </c>
      <c r="G146" s="108">
        <v>20</v>
      </c>
      <c r="H146" s="109">
        <f t="shared" si="3"/>
        <v>3.54</v>
      </c>
    </row>
    <row r="147" spans="1:8">
      <c r="A147" s="103"/>
      <c r="B147" s="104">
        <v>1</v>
      </c>
      <c r="C147" s="104" t="s">
        <v>81</v>
      </c>
      <c r="D147" s="106">
        <v>10</v>
      </c>
      <c r="E147" s="106">
        <v>14</v>
      </c>
      <c r="F147" s="107">
        <f t="shared" si="4"/>
        <v>153.9</v>
      </c>
      <c r="G147" s="108"/>
      <c r="H147" s="109">
        <f t="shared" si="3"/>
        <v>15.39</v>
      </c>
    </row>
    <row r="148" spans="1:8">
      <c r="A148" s="103"/>
      <c r="B148" s="104">
        <v>1</v>
      </c>
      <c r="C148" s="104" t="s">
        <v>81</v>
      </c>
      <c r="D148" s="106">
        <v>12</v>
      </c>
      <c r="E148" s="106">
        <v>17</v>
      </c>
      <c r="F148" s="107">
        <f t="shared" si="4"/>
        <v>226.9</v>
      </c>
      <c r="G148" s="108"/>
      <c r="H148" s="109">
        <f t="shared" si="3"/>
        <v>18.91</v>
      </c>
    </row>
    <row r="149" spans="1:8" s="111" customFormat="1" ht="15">
      <c r="A149" s="110"/>
      <c r="B149" s="111">
        <v>1</v>
      </c>
      <c r="C149" s="111" t="str">
        <f>C148</f>
        <v>Слива домашняя, алыча</v>
      </c>
      <c r="D149" s="112">
        <v>0</v>
      </c>
      <c r="E149" s="112">
        <f>ROUND(TREND(E144:E146,D144:D146,D149),0)</f>
        <v>-1</v>
      </c>
      <c r="F149" s="113">
        <f t="shared" si="4"/>
        <v>0.8</v>
      </c>
      <c r="G149" s="114"/>
      <c r="H149" s="115" t="e">
        <f t="shared" si="3"/>
        <v>#DIV/0!</v>
      </c>
    </row>
    <row r="150" spans="1:8" ht="15">
      <c r="A150" s="103"/>
      <c r="B150" s="104">
        <v>1</v>
      </c>
      <c r="C150" s="105" t="s">
        <v>82</v>
      </c>
      <c r="D150" s="106">
        <v>5</v>
      </c>
      <c r="E150" s="106">
        <v>2</v>
      </c>
      <c r="F150" s="107">
        <f t="shared" si="4"/>
        <v>3.1</v>
      </c>
      <c r="G150" s="108"/>
      <c r="H150" s="109">
        <f t="shared" si="3"/>
        <v>0.62</v>
      </c>
    </row>
    <row r="151" spans="1:8">
      <c r="A151" s="103"/>
      <c r="B151" s="104">
        <v>1</v>
      </c>
      <c r="C151" s="104" t="s">
        <v>82</v>
      </c>
      <c r="D151" s="106">
        <v>10</v>
      </c>
      <c r="E151" s="106">
        <v>4</v>
      </c>
      <c r="F151" s="107">
        <f t="shared" si="4"/>
        <v>12.6</v>
      </c>
      <c r="G151" s="108"/>
      <c r="H151" s="109">
        <f t="shared" si="3"/>
        <v>1.26</v>
      </c>
    </row>
    <row r="152" spans="1:8">
      <c r="A152" s="103"/>
      <c r="B152" s="104">
        <v>1</v>
      </c>
      <c r="C152" s="104" t="s">
        <v>82</v>
      </c>
      <c r="D152" s="106">
        <v>15</v>
      </c>
      <c r="E152" s="106">
        <v>7</v>
      </c>
      <c r="F152" s="107">
        <f t="shared" si="4"/>
        <v>38.5</v>
      </c>
      <c r="G152" s="108"/>
      <c r="H152" s="109">
        <f t="shared" si="3"/>
        <v>2.57</v>
      </c>
    </row>
    <row r="153" spans="1:8">
      <c r="A153" s="103"/>
      <c r="B153" s="104">
        <v>1</v>
      </c>
      <c r="C153" s="104" t="s">
        <v>82</v>
      </c>
      <c r="D153" s="106">
        <v>20</v>
      </c>
      <c r="E153" s="106">
        <v>10</v>
      </c>
      <c r="F153" s="107">
        <f t="shared" si="4"/>
        <v>78.5</v>
      </c>
      <c r="G153" s="108"/>
      <c r="H153" s="109">
        <f t="shared" si="3"/>
        <v>3.93</v>
      </c>
    </row>
    <row r="154" spans="1:8">
      <c r="A154" s="103"/>
      <c r="B154" s="104">
        <v>1</v>
      </c>
      <c r="C154" s="104" t="s">
        <v>82</v>
      </c>
      <c r="D154" s="106">
        <v>25</v>
      </c>
      <c r="E154" s="106">
        <v>12</v>
      </c>
      <c r="F154" s="107">
        <f t="shared" si="4"/>
        <v>113</v>
      </c>
      <c r="G154" s="108"/>
      <c r="H154" s="109">
        <f t="shared" si="3"/>
        <v>4.5199999999999996</v>
      </c>
    </row>
    <row r="155" spans="1:8" ht="15">
      <c r="A155" s="103"/>
      <c r="B155" s="104">
        <v>1</v>
      </c>
      <c r="C155" s="105" t="s">
        <v>83</v>
      </c>
      <c r="D155" s="106">
        <v>4</v>
      </c>
      <c r="E155" s="106">
        <v>3</v>
      </c>
      <c r="F155" s="107">
        <f t="shared" si="4"/>
        <v>7.1</v>
      </c>
      <c r="G155" s="108">
        <v>10</v>
      </c>
      <c r="H155" s="109">
        <f t="shared" si="3"/>
        <v>1.78</v>
      </c>
    </row>
    <row r="156" spans="1:8">
      <c r="A156" s="103"/>
      <c r="B156" s="104">
        <v>1</v>
      </c>
      <c r="C156" s="104" t="s">
        <v>83</v>
      </c>
      <c r="D156" s="106">
        <v>8</v>
      </c>
      <c r="E156" s="106">
        <v>6</v>
      </c>
      <c r="F156" s="107">
        <f t="shared" si="4"/>
        <v>28.3</v>
      </c>
      <c r="G156" s="108">
        <v>20</v>
      </c>
      <c r="H156" s="109">
        <f t="shared" si="3"/>
        <v>3.54</v>
      </c>
    </row>
    <row r="157" spans="1:8">
      <c r="A157" s="103"/>
      <c r="B157" s="104">
        <v>1</v>
      </c>
      <c r="C157" s="104" t="s">
        <v>83</v>
      </c>
      <c r="D157" s="106">
        <v>20</v>
      </c>
      <c r="E157" s="106">
        <v>15</v>
      </c>
      <c r="F157" s="107">
        <f t="shared" si="4"/>
        <v>176.6</v>
      </c>
      <c r="G157" s="108">
        <v>60</v>
      </c>
      <c r="H157" s="109">
        <f t="shared" si="3"/>
        <v>8.83</v>
      </c>
    </row>
    <row r="158" spans="1:8">
      <c r="A158" s="103"/>
      <c r="B158" s="104">
        <v>1</v>
      </c>
      <c r="C158" s="104" t="s">
        <v>83</v>
      </c>
      <c r="D158" s="106">
        <v>10</v>
      </c>
      <c r="E158" s="106">
        <v>8</v>
      </c>
      <c r="F158" s="107">
        <f t="shared" si="4"/>
        <v>50.2</v>
      </c>
      <c r="G158" s="108"/>
      <c r="H158" s="109">
        <f t="shared" ref="H158:H177" si="5">ROUND(F158/D158,2)</f>
        <v>5.0199999999999996</v>
      </c>
    </row>
    <row r="159" spans="1:8">
      <c r="A159" s="103"/>
      <c r="B159" s="104">
        <v>1</v>
      </c>
      <c r="C159" s="104" t="s">
        <v>83</v>
      </c>
      <c r="D159" s="106">
        <v>15</v>
      </c>
      <c r="E159" s="106">
        <v>11</v>
      </c>
      <c r="F159" s="107">
        <f t="shared" si="4"/>
        <v>95</v>
      </c>
      <c r="G159" s="108"/>
      <c r="H159" s="109">
        <f t="shared" si="5"/>
        <v>6.33</v>
      </c>
    </row>
    <row r="160" spans="1:8">
      <c r="A160" s="103"/>
      <c r="B160" s="104">
        <v>1</v>
      </c>
      <c r="C160" s="104" t="s">
        <v>83</v>
      </c>
      <c r="D160" s="106">
        <v>25</v>
      </c>
      <c r="E160" s="106">
        <v>19</v>
      </c>
      <c r="F160" s="107">
        <f t="shared" si="4"/>
        <v>283.39999999999998</v>
      </c>
      <c r="G160" s="108"/>
      <c r="H160" s="109">
        <f t="shared" si="5"/>
        <v>11.34</v>
      </c>
    </row>
    <row r="161" spans="1:8" ht="15">
      <c r="A161" s="103"/>
      <c r="B161" s="104">
        <v>1</v>
      </c>
      <c r="C161" s="105" t="s">
        <v>84</v>
      </c>
      <c r="D161" s="106">
        <v>3</v>
      </c>
      <c r="E161" s="106">
        <v>3</v>
      </c>
      <c r="F161" s="107">
        <f t="shared" si="4"/>
        <v>7.1</v>
      </c>
      <c r="G161" s="108">
        <v>5</v>
      </c>
      <c r="H161" s="109">
        <f t="shared" si="5"/>
        <v>2.37</v>
      </c>
    </row>
    <row r="162" spans="1:8">
      <c r="A162" s="103"/>
      <c r="B162" s="104">
        <v>1</v>
      </c>
      <c r="C162" s="104" t="s">
        <v>84</v>
      </c>
      <c r="D162" s="106">
        <v>5</v>
      </c>
      <c r="E162" s="106">
        <v>5</v>
      </c>
      <c r="F162" s="107">
        <f t="shared" si="4"/>
        <v>19.600000000000001</v>
      </c>
      <c r="G162" s="108">
        <v>10</v>
      </c>
      <c r="H162" s="109">
        <f t="shared" si="5"/>
        <v>3.92</v>
      </c>
    </row>
    <row r="163" spans="1:8">
      <c r="A163" s="103"/>
      <c r="B163" s="104">
        <v>1</v>
      </c>
      <c r="C163" s="104" t="s">
        <v>84</v>
      </c>
      <c r="D163" s="106">
        <v>10</v>
      </c>
      <c r="E163" s="106">
        <v>10</v>
      </c>
      <c r="F163" s="107">
        <f t="shared" si="4"/>
        <v>78.5</v>
      </c>
      <c r="G163" s="108">
        <v>20</v>
      </c>
      <c r="H163" s="109">
        <f t="shared" si="5"/>
        <v>7.85</v>
      </c>
    </row>
    <row r="164" spans="1:8">
      <c r="A164" s="103"/>
      <c r="B164" s="104">
        <v>1</v>
      </c>
      <c r="C164" s="104" t="s">
        <v>84</v>
      </c>
      <c r="D164" s="106">
        <v>12</v>
      </c>
      <c r="E164" s="106">
        <v>12</v>
      </c>
      <c r="F164" s="107">
        <f t="shared" si="4"/>
        <v>113</v>
      </c>
      <c r="G164" s="108"/>
      <c r="H164" s="109">
        <f t="shared" si="5"/>
        <v>9.42</v>
      </c>
    </row>
    <row r="165" spans="1:8">
      <c r="A165" s="103"/>
      <c r="B165" s="104">
        <v>1</v>
      </c>
      <c r="C165" s="104" t="s">
        <v>84</v>
      </c>
      <c r="D165" s="106">
        <v>15</v>
      </c>
      <c r="E165" s="106">
        <v>15</v>
      </c>
      <c r="F165" s="107">
        <f t="shared" si="4"/>
        <v>176.6</v>
      </c>
      <c r="G165" s="108"/>
      <c r="H165" s="109">
        <f t="shared" si="5"/>
        <v>11.77</v>
      </c>
    </row>
    <row r="166" spans="1:8" ht="15">
      <c r="A166" s="103"/>
      <c r="B166" s="104">
        <v>1</v>
      </c>
      <c r="C166" s="105" t="s">
        <v>85</v>
      </c>
      <c r="D166" s="106">
        <v>1.5</v>
      </c>
      <c r="E166" s="106">
        <v>1</v>
      </c>
      <c r="F166" s="107">
        <f t="shared" si="4"/>
        <v>0.8</v>
      </c>
      <c r="G166" s="108">
        <v>3</v>
      </c>
      <c r="H166" s="109">
        <f t="shared" si="5"/>
        <v>0.53</v>
      </c>
    </row>
    <row r="167" spans="1:8">
      <c r="A167" s="103"/>
      <c r="B167" s="104">
        <v>1</v>
      </c>
      <c r="C167" s="104" t="s">
        <v>85</v>
      </c>
      <c r="D167" s="106">
        <v>3</v>
      </c>
      <c r="E167" s="106">
        <v>3</v>
      </c>
      <c r="F167" s="107">
        <f t="shared" si="4"/>
        <v>7.1</v>
      </c>
      <c r="G167" s="108">
        <v>5</v>
      </c>
      <c r="H167" s="109">
        <f t="shared" si="5"/>
        <v>2.37</v>
      </c>
    </row>
    <row r="168" spans="1:8">
      <c r="A168" s="103"/>
      <c r="B168" s="104">
        <v>1</v>
      </c>
      <c r="C168" s="104" t="s">
        <v>85</v>
      </c>
      <c r="D168" s="106">
        <v>6</v>
      </c>
      <c r="E168" s="106">
        <v>6</v>
      </c>
      <c r="F168" s="107">
        <f t="shared" si="4"/>
        <v>28.3</v>
      </c>
      <c r="G168" s="108">
        <v>10</v>
      </c>
      <c r="H168" s="109">
        <f t="shared" si="5"/>
        <v>4.72</v>
      </c>
    </row>
    <row r="169" spans="1:8">
      <c r="A169" s="103"/>
      <c r="B169" s="104">
        <v>1</v>
      </c>
      <c r="C169" s="104" t="s">
        <v>85</v>
      </c>
      <c r="D169" s="106">
        <v>4.5</v>
      </c>
      <c r="E169" s="106">
        <v>4</v>
      </c>
      <c r="F169" s="107">
        <f>ROUND(E169*E169*3.14/4,1)</f>
        <v>12.6</v>
      </c>
      <c r="G169" s="108"/>
      <c r="H169" s="109">
        <f>ROUND(F169/D169,2)</f>
        <v>2.8</v>
      </c>
    </row>
    <row r="170" spans="1:8" s="111" customFormat="1" ht="15">
      <c r="A170" s="110"/>
      <c r="B170" s="111">
        <v>1</v>
      </c>
      <c r="C170" s="111" t="str">
        <f>C169</f>
        <v>Яблоня домашняя</v>
      </c>
      <c r="D170" s="112">
        <v>7</v>
      </c>
      <c r="E170" s="112">
        <f>ROUND(TREND(E166:E168,D166:D168,D170),0)</f>
        <v>7</v>
      </c>
      <c r="F170" s="113">
        <f t="shared" si="4"/>
        <v>38.5</v>
      </c>
      <c r="G170" s="114"/>
      <c r="H170" s="115">
        <f t="shared" si="5"/>
        <v>5.5</v>
      </c>
    </row>
    <row r="171" spans="1:8" ht="15">
      <c r="A171" s="103"/>
      <c r="B171" s="104">
        <v>1</v>
      </c>
      <c r="C171" s="105" t="s">
        <v>86</v>
      </c>
      <c r="D171" s="106">
        <v>6</v>
      </c>
      <c r="E171" s="106">
        <v>4</v>
      </c>
      <c r="F171" s="107">
        <f t="shared" si="4"/>
        <v>12.6</v>
      </c>
      <c r="G171" s="108">
        <v>10</v>
      </c>
      <c r="H171" s="109">
        <f t="shared" si="5"/>
        <v>2.1</v>
      </c>
    </row>
    <row r="172" spans="1:8">
      <c r="A172" s="103"/>
      <c r="B172" s="104">
        <v>1</v>
      </c>
      <c r="C172" s="104" t="s">
        <v>86</v>
      </c>
      <c r="D172" s="106">
        <v>12</v>
      </c>
      <c r="E172" s="106">
        <v>8</v>
      </c>
      <c r="F172" s="107">
        <f t="shared" si="4"/>
        <v>50.2</v>
      </c>
      <c r="G172" s="106">
        <v>20</v>
      </c>
      <c r="H172" s="109">
        <f t="shared" si="5"/>
        <v>4.18</v>
      </c>
    </row>
    <row r="173" spans="1:8">
      <c r="A173" s="103"/>
      <c r="B173" s="104">
        <v>1</v>
      </c>
      <c r="C173" s="104" t="s">
        <v>86</v>
      </c>
      <c r="D173" s="106">
        <v>20</v>
      </c>
      <c r="E173" s="106">
        <v>14</v>
      </c>
      <c r="F173" s="107">
        <f t="shared" si="4"/>
        <v>153.9</v>
      </c>
      <c r="G173" s="106">
        <v>40</v>
      </c>
      <c r="H173" s="109">
        <f t="shared" si="5"/>
        <v>7.7</v>
      </c>
    </row>
    <row r="174" spans="1:8">
      <c r="A174" s="103"/>
      <c r="B174" s="104">
        <v>1</v>
      </c>
      <c r="C174" s="104" t="s">
        <v>86</v>
      </c>
      <c r="D174" s="106">
        <v>15</v>
      </c>
      <c r="E174" s="106">
        <v>10</v>
      </c>
      <c r="F174" s="107">
        <f t="shared" si="4"/>
        <v>78.5</v>
      </c>
      <c r="H174" s="109">
        <f t="shared" si="5"/>
        <v>5.23</v>
      </c>
    </row>
    <row r="175" spans="1:8">
      <c r="A175" s="103"/>
      <c r="B175" s="104">
        <v>1</v>
      </c>
      <c r="C175" s="104" t="s">
        <v>86</v>
      </c>
      <c r="D175" s="106">
        <v>23</v>
      </c>
      <c r="E175" s="106">
        <v>16</v>
      </c>
      <c r="F175" s="107">
        <f t="shared" si="4"/>
        <v>201</v>
      </c>
      <c r="H175" s="109">
        <f t="shared" si="5"/>
        <v>8.74</v>
      </c>
    </row>
    <row r="176" spans="1:8">
      <c r="A176" s="103"/>
      <c r="B176" s="104">
        <v>1</v>
      </c>
      <c r="C176" s="104" t="s">
        <v>86</v>
      </c>
      <c r="D176" s="106">
        <v>25</v>
      </c>
      <c r="E176" s="106">
        <v>18</v>
      </c>
      <c r="F176" s="107">
        <f t="shared" si="4"/>
        <v>254.3</v>
      </c>
      <c r="H176" s="109">
        <f t="shared" si="5"/>
        <v>10.17</v>
      </c>
    </row>
    <row r="177" spans="1:8" s="111" customFormat="1" ht="15">
      <c r="A177" s="110"/>
      <c r="B177" s="111">
        <v>1</v>
      </c>
      <c r="C177" s="111" t="str">
        <f>C176</f>
        <v>Ясень обыкновенный</v>
      </c>
      <c r="D177" s="112">
        <v>9</v>
      </c>
      <c r="E177" s="112">
        <f>ROUND(TREND(E171:E173,D171:D173,D177),0)</f>
        <v>6</v>
      </c>
      <c r="F177" s="113">
        <f t="shared" si="4"/>
        <v>28.3</v>
      </c>
      <c r="G177" s="114"/>
      <c r="H177" s="115">
        <f t="shared" si="5"/>
        <v>3.14</v>
      </c>
    </row>
    <row r="178" spans="1:8" s="118" customFormat="1" ht="18.75">
      <c r="A178" s="117"/>
      <c r="C178" s="118" t="s">
        <v>87</v>
      </c>
      <c r="D178" s="119"/>
      <c r="E178" s="119"/>
      <c r="F178" s="120"/>
      <c r="G178" s="119"/>
      <c r="H178" s="119"/>
    </row>
    <row r="179" spans="1:8">
      <c r="A179" s="103"/>
      <c r="B179" s="104">
        <v>1</v>
      </c>
      <c r="C179" s="104" t="s">
        <v>88</v>
      </c>
      <c r="D179" s="106"/>
      <c r="E179" s="106">
        <v>0.5</v>
      </c>
      <c r="F179" s="107">
        <f t="shared" ref="F179:F218" si="6">ROUND(E179*E179*3.14/4,1)</f>
        <v>0.2</v>
      </c>
      <c r="G179" s="108"/>
      <c r="H179" s="108"/>
    </row>
    <row r="180" spans="1:8">
      <c r="A180" s="103"/>
      <c r="B180" s="104">
        <v>1</v>
      </c>
      <c r="C180" s="104" t="s">
        <v>88</v>
      </c>
      <c r="D180" s="106"/>
      <c r="E180" s="106">
        <v>1</v>
      </c>
      <c r="F180" s="107">
        <f t="shared" si="6"/>
        <v>0.8</v>
      </c>
      <c r="G180" s="108"/>
      <c r="H180" s="108"/>
    </row>
    <row r="181" spans="1:8">
      <c r="A181" s="103"/>
      <c r="B181" s="104">
        <v>1</v>
      </c>
      <c r="C181" s="104" t="s">
        <v>88</v>
      </c>
      <c r="D181" s="106"/>
      <c r="E181" s="106">
        <v>1.5</v>
      </c>
      <c r="F181" s="107">
        <f t="shared" si="6"/>
        <v>1.8</v>
      </c>
      <c r="G181" s="108"/>
      <c r="H181" s="108"/>
    </row>
    <row r="182" spans="1:8">
      <c r="A182" s="103"/>
      <c r="B182" s="104">
        <v>1</v>
      </c>
      <c r="C182" s="104" t="s">
        <v>88</v>
      </c>
      <c r="D182" s="106"/>
      <c r="E182" s="106">
        <v>2</v>
      </c>
      <c r="F182" s="107">
        <f t="shared" si="6"/>
        <v>3.1</v>
      </c>
      <c r="G182" s="108"/>
      <c r="H182" s="108"/>
    </row>
    <row r="183" spans="1:8">
      <c r="A183" s="103"/>
      <c r="B183" s="104">
        <v>1</v>
      </c>
      <c r="C183" s="104" t="s">
        <v>88</v>
      </c>
      <c r="D183" s="106"/>
      <c r="E183" s="106">
        <v>2.5</v>
      </c>
      <c r="F183" s="107">
        <f t="shared" si="6"/>
        <v>4.9000000000000004</v>
      </c>
      <c r="G183" s="108"/>
      <c r="H183" s="108"/>
    </row>
    <row r="184" spans="1:8">
      <c r="A184" s="103"/>
      <c r="B184" s="104">
        <v>1</v>
      </c>
      <c r="C184" s="104" t="s">
        <v>88</v>
      </c>
      <c r="D184" s="106"/>
      <c r="E184" s="106">
        <v>3</v>
      </c>
      <c r="F184" s="107">
        <f t="shared" si="6"/>
        <v>7.1</v>
      </c>
    </row>
    <row r="185" spans="1:8" s="105" customFormat="1" ht="15">
      <c r="A185" s="121"/>
      <c r="B185" s="105">
        <v>1</v>
      </c>
      <c r="C185" s="105" t="s">
        <v>89</v>
      </c>
      <c r="D185" s="122">
        <v>1</v>
      </c>
      <c r="E185" s="122">
        <v>1</v>
      </c>
      <c r="F185" s="123">
        <f t="shared" si="6"/>
        <v>0.8</v>
      </c>
      <c r="G185" s="122">
        <v>3</v>
      </c>
      <c r="H185" s="124">
        <f t="shared" ref="H185:H218" si="7">ROUND(F185/D185,2)</f>
        <v>0.8</v>
      </c>
    </row>
    <row r="186" spans="1:8" ht="15">
      <c r="A186" s="103"/>
      <c r="B186" s="104">
        <v>1</v>
      </c>
      <c r="C186" s="104" t="s">
        <v>89</v>
      </c>
      <c r="D186" s="106">
        <v>1.5</v>
      </c>
      <c r="E186" s="106">
        <v>1.5</v>
      </c>
      <c r="F186" s="107">
        <f t="shared" si="6"/>
        <v>1.8</v>
      </c>
      <c r="G186" s="106">
        <v>5</v>
      </c>
      <c r="H186" s="125">
        <f t="shared" si="7"/>
        <v>1.2</v>
      </c>
    </row>
    <row r="187" spans="1:8" ht="15">
      <c r="A187" s="103"/>
      <c r="B187" s="104">
        <v>1</v>
      </c>
      <c r="C187" s="104" t="s">
        <v>89</v>
      </c>
      <c r="D187" s="106">
        <v>3</v>
      </c>
      <c r="E187" s="106">
        <v>3</v>
      </c>
      <c r="F187" s="107">
        <f t="shared" si="6"/>
        <v>7.1</v>
      </c>
      <c r="G187" s="106">
        <v>10</v>
      </c>
      <c r="H187" s="125">
        <f t="shared" si="7"/>
        <v>2.37</v>
      </c>
    </row>
    <row r="188" spans="1:8" s="111" customFormat="1" ht="15">
      <c r="A188" s="110"/>
      <c r="B188" s="111">
        <v>1</v>
      </c>
      <c r="C188" s="111" t="str">
        <f>C187</f>
        <v>Кизильник блестящий</v>
      </c>
      <c r="D188" s="112"/>
      <c r="E188" s="112" t="e">
        <f>ROUND(TREND(E185:E187,D185:D187,D188),0)</f>
        <v>#VALUE!</v>
      </c>
      <c r="F188" s="113" t="e">
        <f t="shared" si="6"/>
        <v>#VALUE!</v>
      </c>
      <c r="G188" s="114"/>
      <c r="H188" s="115" t="e">
        <f t="shared" si="7"/>
        <v>#VALUE!</v>
      </c>
    </row>
    <row r="189" spans="1:8" s="105" customFormat="1" ht="15">
      <c r="A189" s="121"/>
      <c r="B189" s="105">
        <v>1</v>
      </c>
      <c r="C189" s="105" t="s">
        <v>90</v>
      </c>
      <c r="D189" s="122">
        <v>1.5</v>
      </c>
      <c r="E189" s="122">
        <v>1.5</v>
      </c>
      <c r="F189" s="123">
        <f t="shared" si="6"/>
        <v>1.8</v>
      </c>
      <c r="G189" s="122">
        <v>5</v>
      </c>
      <c r="H189" s="124">
        <f t="shared" si="7"/>
        <v>1.2</v>
      </c>
    </row>
    <row r="190" spans="1:8" ht="15">
      <c r="A190" s="103"/>
      <c r="B190" s="104">
        <v>1</v>
      </c>
      <c r="C190" s="104" t="s">
        <v>90</v>
      </c>
      <c r="D190" s="106">
        <v>3</v>
      </c>
      <c r="E190" s="106">
        <v>3</v>
      </c>
      <c r="F190" s="107">
        <f t="shared" si="6"/>
        <v>7.1</v>
      </c>
      <c r="G190" s="106">
        <v>10</v>
      </c>
      <c r="H190" s="125">
        <f t="shared" si="7"/>
        <v>2.37</v>
      </c>
    </row>
    <row r="191" spans="1:8" ht="15">
      <c r="A191" s="103"/>
      <c r="B191" s="104">
        <v>1</v>
      </c>
      <c r="C191" s="104" t="s">
        <v>90</v>
      </c>
      <c r="D191" s="106">
        <v>5</v>
      </c>
      <c r="E191" s="106">
        <v>5</v>
      </c>
      <c r="F191" s="107">
        <f t="shared" si="6"/>
        <v>19.600000000000001</v>
      </c>
      <c r="G191" s="106">
        <v>20</v>
      </c>
      <c r="H191" s="125">
        <f t="shared" si="7"/>
        <v>3.92</v>
      </c>
    </row>
    <row r="192" spans="1:8" s="111" customFormat="1" ht="15">
      <c r="A192" s="110"/>
      <c r="B192" s="111">
        <v>1</v>
      </c>
      <c r="C192" s="111" t="str">
        <f>C191</f>
        <v>Лещина обыкновенная</v>
      </c>
      <c r="D192" s="112"/>
      <c r="E192" s="112" t="e">
        <f>ROUND(TREND(E189:E191,D189:D191,D192),0)</f>
        <v>#VALUE!</v>
      </c>
      <c r="F192" s="113" t="e">
        <f t="shared" si="6"/>
        <v>#VALUE!</v>
      </c>
      <c r="G192" s="114"/>
      <c r="H192" s="115" t="e">
        <f t="shared" si="7"/>
        <v>#VALUE!</v>
      </c>
    </row>
    <row r="193" spans="1:8" s="105" customFormat="1" ht="15">
      <c r="A193" s="121"/>
      <c r="B193" s="105">
        <v>1</v>
      </c>
      <c r="C193" s="105" t="s">
        <v>91</v>
      </c>
      <c r="D193" s="122">
        <v>2</v>
      </c>
      <c r="E193" s="122">
        <v>1</v>
      </c>
      <c r="F193" s="123">
        <f t="shared" si="6"/>
        <v>0.8</v>
      </c>
      <c r="G193" s="122">
        <v>5</v>
      </c>
      <c r="H193" s="125">
        <f t="shared" si="7"/>
        <v>0.4</v>
      </c>
    </row>
    <row r="194" spans="1:8" ht="15">
      <c r="A194" s="103"/>
      <c r="B194" s="104">
        <v>1</v>
      </c>
      <c r="C194" s="104" t="s">
        <v>91</v>
      </c>
      <c r="D194" s="106">
        <v>3</v>
      </c>
      <c r="E194" s="106">
        <v>2</v>
      </c>
      <c r="F194" s="107">
        <f t="shared" si="6"/>
        <v>3.1</v>
      </c>
      <c r="G194" s="106">
        <v>10</v>
      </c>
      <c r="H194" s="125">
        <f t="shared" si="7"/>
        <v>1.03</v>
      </c>
    </row>
    <row r="195" spans="1:8" ht="15">
      <c r="A195" s="103"/>
      <c r="B195" s="104">
        <v>1</v>
      </c>
      <c r="C195" s="104" t="s">
        <v>91</v>
      </c>
      <c r="D195" s="106">
        <v>5</v>
      </c>
      <c r="E195" s="106">
        <v>3</v>
      </c>
      <c r="F195" s="107">
        <f t="shared" si="6"/>
        <v>7.1</v>
      </c>
      <c r="G195" s="106">
        <v>20</v>
      </c>
      <c r="H195" s="125">
        <f t="shared" si="7"/>
        <v>1.42</v>
      </c>
    </row>
    <row r="196" spans="1:8" ht="15">
      <c r="A196" s="103"/>
      <c r="B196" s="104">
        <v>1</v>
      </c>
      <c r="C196" s="104" t="s">
        <v>91</v>
      </c>
      <c r="D196" s="106">
        <v>8</v>
      </c>
      <c r="E196" s="106">
        <v>4</v>
      </c>
      <c r="F196" s="107">
        <f t="shared" si="6"/>
        <v>12.6</v>
      </c>
      <c r="G196" s="106">
        <v>40</v>
      </c>
      <c r="H196" s="125">
        <f t="shared" si="7"/>
        <v>1.58</v>
      </c>
    </row>
    <row r="197" spans="1:8" s="111" customFormat="1" ht="15">
      <c r="A197" s="110"/>
      <c r="B197" s="111">
        <v>1</v>
      </c>
      <c r="C197" s="111" t="str">
        <f>C196</f>
        <v>Можжевельник обыкновенный</v>
      </c>
      <c r="D197" s="112">
        <v>3.5</v>
      </c>
      <c r="E197" s="112">
        <f>ROUND(TREND(E193:E195,D193:D195,D197),0)</f>
        <v>2</v>
      </c>
      <c r="F197" s="113">
        <f t="shared" si="6"/>
        <v>3.1</v>
      </c>
      <c r="G197" s="114"/>
      <c r="H197" s="115">
        <f t="shared" si="7"/>
        <v>0.89</v>
      </c>
    </row>
    <row r="198" spans="1:8" s="105" customFormat="1" ht="15">
      <c r="A198" s="121"/>
      <c r="B198" s="105">
        <v>1</v>
      </c>
      <c r="C198" s="105" t="s">
        <v>92</v>
      </c>
      <c r="D198" s="122">
        <v>1.5</v>
      </c>
      <c r="E198" s="122">
        <v>0.5</v>
      </c>
      <c r="F198" s="123">
        <f t="shared" si="6"/>
        <v>0.2</v>
      </c>
      <c r="G198" s="122">
        <v>5</v>
      </c>
      <c r="H198" s="124">
        <f t="shared" si="7"/>
        <v>0.13</v>
      </c>
    </row>
    <row r="199" spans="1:8" ht="15">
      <c r="A199" s="103"/>
      <c r="B199" s="104">
        <v>1</v>
      </c>
      <c r="C199" s="104" t="s">
        <v>92</v>
      </c>
      <c r="D199" s="106">
        <v>3</v>
      </c>
      <c r="E199" s="106">
        <v>1</v>
      </c>
      <c r="F199" s="107">
        <f t="shared" si="6"/>
        <v>0.8</v>
      </c>
      <c r="G199" s="106">
        <v>10</v>
      </c>
      <c r="H199" s="125">
        <f t="shared" si="7"/>
        <v>0.27</v>
      </c>
    </row>
    <row r="200" spans="1:8" ht="15">
      <c r="A200" s="103"/>
      <c r="B200" s="104">
        <v>1</v>
      </c>
      <c r="C200" s="104" t="s">
        <v>92</v>
      </c>
      <c r="D200" s="106">
        <v>6</v>
      </c>
      <c r="E200" s="106">
        <v>2</v>
      </c>
      <c r="F200" s="107">
        <f t="shared" si="6"/>
        <v>3.1</v>
      </c>
      <c r="G200" s="106">
        <v>20</v>
      </c>
      <c r="H200" s="125">
        <f t="shared" si="7"/>
        <v>0.52</v>
      </c>
    </row>
    <row r="201" spans="1:8" ht="15">
      <c r="A201" s="103"/>
      <c r="B201" s="104">
        <v>1</v>
      </c>
      <c r="C201" s="104" t="s">
        <v>92</v>
      </c>
      <c r="D201" s="106">
        <v>12</v>
      </c>
      <c r="E201" s="106">
        <v>5</v>
      </c>
      <c r="F201" s="107">
        <f t="shared" si="6"/>
        <v>19.600000000000001</v>
      </c>
      <c r="G201" s="106">
        <v>40</v>
      </c>
      <c r="H201" s="125">
        <f t="shared" si="7"/>
        <v>1.63</v>
      </c>
    </row>
    <row r="202" spans="1:8" s="111" customFormat="1" ht="15">
      <c r="A202" s="110"/>
      <c r="B202" s="111">
        <v>1</v>
      </c>
      <c r="C202" s="111" t="str">
        <f>C201</f>
        <v>Туя западная</v>
      </c>
      <c r="D202" s="112"/>
      <c r="E202" s="112" t="e">
        <f>ROUND(TREND(E198:E201,D198:D201,D202),0)</f>
        <v>#VALUE!</v>
      </c>
      <c r="F202" s="113" t="e">
        <f t="shared" si="6"/>
        <v>#VALUE!</v>
      </c>
      <c r="G202" s="114"/>
      <c r="H202" s="115" t="e">
        <f t="shared" si="7"/>
        <v>#VALUE!</v>
      </c>
    </row>
    <row r="203" spans="1:8" s="105" customFormat="1" ht="15">
      <c r="A203" s="121"/>
      <c r="B203" s="105">
        <v>1</v>
      </c>
      <c r="C203" s="105" t="s">
        <v>93</v>
      </c>
      <c r="D203" s="122">
        <v>1</v>
      </c>
      <c r="E203" s="122">
        <v>1</v>
      </c>
      <c r="F203" s="123">
        <f t="shared" si="6"/>
        <v>0.8</v>
      </c>
      <c r="G203" s="122">
        <v>3</v>
      </c>
      <c r="H203" s="124">
        <f t="shared" si="7"/>
        <v>0.8</v>
      </c>
    </row>
    <row r="204" spans="1:8" ht="15">
      <c r="A204" s="103"/>
      <c r="B204" s="104">
        <v>1</v>
      </c>
      <c r="C204" s="104" t="s">
        <v>93</v>
      </c>
      <c r="D204" s="106">
        <v>1.5</v>
      </c>
      <c r="E204" s="106">
        <v>2</v>
      </c>
      <c r="F204" s="107">
        <f t="shared" si="6"/>
        <v>3.1</v>
      </c>
      <c r="G204" s="106">
        <v>5</v>
      </c>
      <c r="H204" s="125">
        <f t="shared" si="7"/>
        <v>2.0699999999999998</v>
      </c>
    </row>
    <row r="205" spans="1:8" ht="15">
      <c r="A205" s="103"/>
      <c r="B205" s="104">
        <v>1</v>
      </c>
      <c r="C205" s="104" t="s">
        <v>93</v>
      </c>
      <c r="D205" s="106">
        <v>3</v>
      </c>
      <c r="E205" s="106">
        <v>4</v>
      </c>
      <c r="F205" s="107">
        <f t="shared" si="6"/>
        <v>12.6</v>
      </c>
      <c r="G205" s="106">
        <v>10</v>
      </c>
      <c r="H205" s="125">
        <f t="shared" si="7"/>
        <v>4.2</v>
      </c>
    </row>
    <row r="206" spans="1:8" s="111" customFormat="1" ht="15">
      <c r="A206" s="110"/>
      <c r="B206" s="111">
        <v>1</v>
      </c>
      <c r="C206" s="111" t="str">
        <f>C205</f>
        <v>Дерен белый</v>
      </c>
      <c r="D206" s="112">
        <v>4</v>
      </c>
      <c r="E206" s="112">
        <f>ROUND(TREND(E203:E205,D203:D205,D206),0)</f>
        <v>6</v>
      </c>
      <c r="F206" s="113">
        <f t="shared" si="6"/>
        <v>28.3</v>
      </c>
      <c r="G206" s="114"/>
      <c r="H206" s="115">
        <f t="shared" si="7"/>
        <v>7.08</v>
      </c>
    </row>
    <row r="207" spans="1:8" s="105" customFormat="1" ht="15">
      <c r="A207" s="121"/>
      <c r="B207" s="105">
        <v>1</v>
      </c>
      <c r="C207" s="105" t="s">
        <v>94</v>
      </c>
      <c r="D207" s="122">
        <v>1.5</v>
      </c>
      <c r="E207" s="122">
        <v>1.5</v>
      </c>
      <c r="F207" s="123">
        <f t="shared" si="6"/>
        <v>1.8</v>
      </c>
      <c r="G207" s="122">
        <v>5</v>
      </c>
      <c r="H207" s="124">
        <f t="shared" si="7"/>
        <v>1.2</v>
      </c>
    </row>
    <row r="208" spans="1:8" ht="15">
      <c r="A208" s="103"/>
      <c r="B208" s="104">
        <v>1</v>
      </c>
      <c r="C208" s="104" t="s">
        <v>94</v>
      </c>
      <c r="D208" s="106">
        <v>3</v>
      </c>
      <c r="E208" s="106">
        <v>3</v>
      </c>
      <c r="F208" s="107">
        <f t="shared" si="6"/>
        <v>7.1</v>
      </c>
      <c r="G208" s="106">
        <v>10</v>
      </c>
      <c r="H208" s="125">
        <f t="shared" si="7"/>
        <v>2.37</v>
      </c>
    </row>
    <row r="209" spans="1:8" ht="15">
      <c r="A209" s="103"/>
      <c r="B209" s="104">
        <v>1</v>
      </c>
      <c r="C209" s="104" t="s">
        <v>94</v>
      </c>
      <c r="D209" s="106">
        <v>6</v>
      </c>
      <c r="E209" s="106">
        <v>5</v>
      </c>
      <c r="F209" s="107">
        <f t="shared" si="6"/>
        <v>19.600000000000001</v>
      </c>
      <c r="G209" s="106">
        <v>20</v>
      </c>
      <c r="H209" s="125">
        <f t="shared" si="7"/>
        <v>3.27</v>
      </c>
    </row>
    <row r="210" spans="1:8" s="111" customFormat="1" ht="15">
      <c r="A210" s="110"/>
      <c r="B210" s="111">
        <v>1</v>
      </c>
      <c r="C210" s="111" t="str">
        <f>C209</f>
        <v>Сирень обыкновенная</v>
      </c>
      <c r="D210" s="112">
        <v>2</v>
      </c>
      <c r="E210" s="112">
        <f>ROUND(TREND(E207:E209,D207:D209,D210),0)</f>
        <v>2</v>
      </c>
      <c r="F210" s="113">
        <f t="shared" si="6"/>
        <v>3.1</v>
      </c>
      <c r="G210" s="114"/>
      <c r="H210" s="115">
        <f t="shared" si="7"/>
        <v>1.55</v>
      </c>
    </row>
    <row r="211" spans="1:8" s="105" customFormat="1" ht="15">
      <c r="A211" s="121"/>
      <c r="B211" s="105">
        <v>1</v>
      </c>
      <c r="C211" s="105" t="s">
        <v>95</v>
      </c>
      <c r="D211" s="122">
        <v>1</v>
      </c>
      <c r="E211" s="122">
        <v>1</v>
      </c>
      <c r="F211" s="123">
        <f t="shared" si="6"/>
        <v>0.8</v>
      </c>
      <c r="G211" s="122">
        <v>3</v>
      </c>
      <c r="H211" s="124">
        <f t="shared" si="7"/>
        <v>0.8</v>
      </c>
    </row>
    <row r="212" spans="1:8" ht="15">
      <c r="A212" s="103"/>
      <c r="B212" s="104">
        <v>1</v>
      </c>
      <c r="C212" s="104" t="s">
        <v>95</v>
      </c>
      <c r="D212" s="106">
        <v>1.5</v>
      </c>
      <c r="E212" s="106">
        <v>1.5</v>
      </c>
      <c r="F212" s="107">
        <f t="shared" si="6"/>
        <v>1.8</v>
      </c>
      <c r="G212" s="106">
        <v>5</v>
      </c>
      <c r="H212" s="125">
        <f t="shared" si="7"/>
        <v>1.2</v>
      </c>
    </row>
    <row r="213" spans="1:8" ht="15">
      <c r="A213" s="103"/>
      <c r="B213" s="104">
        <v>1</v>
      </c>
      <c r="C213" s="104" t="s">
        <v>95</v>
      </c>
      <c r="D213" s="106">
        <v>3</v>
      </c>
      <c r="E213" s="106">
        <v>3</v>
      </c>
      <c r="F213" s="107">
        <f t="shared" si="6"/>
        <v>7.1</v>
      </c>
      <c r="G213" s="106">
        <v>10</v>
      </c>
      <c r="H213" s="125">
        <f t="shared" si="7"/>
        <v>2.37</v>
      </c>
    </row>
    <row r="214" spans="1:8" s="111" customFormat="1" ht="15">
      <c r="A214" s="110"/>
      <c r="B214" s="111">
        <v>1</v>
      </c>
      <c r="C214" s="111" t="str">
        <f>C213</f>
        <v>Пузерыплодник калинолистный</v>
      </c>
      <c r="D214" s="112">
        <v>4</v>
      </c>
      <c r="E214" s="112">
        <f>ROUND(TREND(E211:E213,D211:D213,D214),0)</f>
        <v>4</v>
      </c>
      <c r="F214" s="113">
        <f t="shared" si="6"/>
        <v>12.6</v>
      </c>
      <c r="G214" s="114"/>
      <c r="H214" s="115">
        <f t="shared" si="7"/>
        <v>3.15</v>
      </c>
    </row>
    <row r="215" spans="1:8" s="105" customFormat="1" ht="15">
      <c r="A215" s="121"/>
      <c r="B215" s="105">
        <v>1</v>
      </c>
      <c r="C215" s="105" t="s">
        <v>96</v>
      </c>
      <c r="D215" s="122">
        <v>1</v>
      </c>
      <c r="E215" s="122">
        <v>1</v>
      </c>
      <c r="F215" s="123">
        <f t="shared" si="6"/>
        <v>0.8</v>
      </c>
      <c r="G215" s="122">
        <v>3</v>
      </c>
      <c r="H215" s="124">
        <f t="shared" si="7"/>
        <v>0.8</v>
      </c>
    </row>
    <row r="216" spans="1:8" ht="15">
      <c r="A216" s="103"/>
      <c r="B216" s="104">
        <v>1</v>
      </c>
      <c r="C216" s="104" t="s">
        <v>96</v>
      </c>
      <c r="D216" s="106">
        <v>1.5</v>
      </c>
      <c r="E216" s="106">
        <v>1.5</v>
      </c>
      <c r="F216" s="107">
        <f t="shared" si="6"/>
        <v>1.8</v>
      </c>
      <c r="G216" s="106">
        <v>5</v>
      </c>
      <c r="H216" s="125">
        <f t="shared" si="7"/>
        <v>1.2</v>
      </c>
    </row>
    <row r="217" spans="1:8" ht="15">
      <c r="A217" s="103"/>
      <c r="B217" s="104">
        <v>1</v>
      </c>
      <c r="C217" s="104" t="s">
        <v>96</v>
      </c>
      <c r="D217" s="106">
        <v>3</v>
      </c>
      <c r="E217" s="106">
        <v>3</v>
      </c>
      <c r="F217" s="107">
        <f t="shared" si="6"/>
        <v>7.1</v>
      </c>
      <c r="G217" s="106">
        <v>10</v>
      </c>
      <c r="H217" s="125">
        <f t="shared" si="7"/>
        <v>2.37</v>
      </c>
    </row>
    <row r="218" spans="1:8" s="111" customFormat="1" ht="15">
      <c r="A218" s="110"/>
      <c r="B218" s="111">
        <v>1</v>
      </c>
      <c r="C218" s="111" t="str">
        <f>C217</f>
        <v>Роза морщинистая</v>
      </c>
      <c r="D218" s="112"/>
      <c r="E218" s="112" t="e">
        <f>ROUND(TREND(E215:E217,D215:D217,D218),0)</f>
        <v>#VALUE!</v>
      </c>
      <c r="F218" s="113" t="e">
        <f t="shared" si="6"/>
        <v>#VALUE!</v>
      </c>
      <c r="G218" s="114"/>
      <c r="H218" s="115" t="e">
        <f t="shared" si="7"/>
        <v>#VALUE!</v>
      </c>
    </row>
    <row r="219" spans="1:8">
      <c r="A219" s="103"/>
      <c r="D219" s="106"/>
      <c r="E219" s="106"/>
      <c r="F219" s="107"/>
    </row>
    <row r="220" spans="1:8">
      <c r="A220" s="103"/>
      <c r="D220" s="106"/>
      <c r="E220" s="106"/>
      <c r="F220" s="107"/>
    </row>
    <row r="221" spans="1:8">
      <c r="A221" s="103"/>
      <c r="D221" s="106"/>
      <c r="E221" s="106"/>
      <c r="F221" s="107"/>
    </row>
    <row r="222" spans="1:8">
      <c r="A222" s="103"/>
      <c r="D222" s="106"/>
      <c r="E222" s="106"/>
      <c r="F222" s="107"/>
    </row>
    <row r="223" spans="1:8">
      <c r="A223" s="103"/>
      <c r="D223" s="106"/>
      <c r="E223" s="106"/>
      <c r="F223" s="107"/>
    </row>
    <row r="224" spans="1:8">
      <c r="D224" s="106"/>
      <c r="E224" s="106"/>
      <c r="F224" s="107"/>
    </row>
    <row r="225" spans="4:6">
      <c r="D225" s="106"/>
      <c r="E225" s="106"/>
      <c r="F225" s="107"/>
    </row>
    <row r="226" spans="4:6">
      <c r="D226" s="106"/>
      <c r="E226" s="106"/>
      <c r="F226" s="10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3:K70"/>
  <sheetViews>
    <sheetView topLeftCell="A52" workbookViewId="0">
      <selection activeCell="K71" sqref="K71"/>
    </sheetView>
  </sheetViews>
  <sheetFormatPr defaultRowHeight="12.75"/>
  <sheetData>
    <row r="3" spans="2:11">
      <c r="C3" s="7">
        <v>2</v>
      </c>
      <c r="E3" s="190">
        <v>3</v>
      </c>
      <c r="G3" s="7">
        <v>1</v>
      </c>
      <c r="I3" s="190">
        <v>2</v>
      </c>
      <c r="K3" s="190">
        <v>1</v>
      </c>
    </row>
    <row r="4" spans="2:11">
      <c r="C4" s="7">
        <v>6</v>
      </c>
      <c r="E4" s="7">
        <v>2</v>
      </c>
      <c r="G4" s="7">
        <v>1</v>
      </c>
      <c r="I4" s="190">
        <v>1</v>
      </c>
      <c r="K4" s="190">
        <v>2</v>
      </c>
    </row>
    <row r="5" spans="2:11">
      <c r="C5" s="7">
        <v>4</v>
      </c>
      <c r="E5" s="7">
        <v>3</v>
      </c>
      <c r="G5" s="7">
        <v>1</v>
      </c>
      <c r="I5" s="7">
        <v>3</v>
      </c>
      <c r="K5" s="190">
        <v>1</v>
      </c>
    </row>
    <row r="6" spans="2:11">
      <c r="C6" s="190">
        <v>7</v>
      </c>
      <c r="E6" s="7">
        <v>5</v>
      </c>
      <c r="G6" s="7">
        <v>4</v>
      </c>
      <c r="I6" s="7">
        <v>3</v>
      </c>
      <c r="K6" s="190">
        <v>1</v>
      </c>
    </row>
    <row r="7" spans="2:11">
      <c r="C7" s="7">
        <v>4</v>
      </c>
      <c r="E7" s="7">
        <v>1</v>
      </c>
      <c r="G7" s="7">
        <v>2</v>
      </c>
      <c r="I7" s="7">
        <v>2</v>
      </c>
      <c r="K7" s="190">
        <v>1</v>
      </c>
    </row>
    <row r="8" spans="2:11">
      <c r="C8" s="7">
        <v>5</v>
      </c>
      <c r="E8" s="190">
        <v>2</v>
      </c>
      <c r="G8" s="7">
        <v>3</v>
      </c>
      <c r="I8" s="7">
        <v>3</v>
      </c>
      <c r="K8" s="190">
        <v>1</v>
      </c>
    </row>
    <row r="9" spans="2:11">
      <c r="C9" s="7">
        <v>1</v>
      </c>
      <c r="E9" s="190">
        <v>3</v>
      </c>
      <c r="G9" s="7">
        <v>3</v>
      </c>
      <c r="I9" s="7">
        <v>2</v>
      </c>
      <c r="K9" s="190">
        <v>1</v>
      </c>
    </row>
    <row r="10" spans="2:11">
      <c r="C10" s="7">
        <v>1</v>
      </c>
      <c r="E10" s="190">
        <v>2</v>
      </c>
      <c r="G10" s="7">
        <v>2</v>
      </c>
      <c r="I10" s="7">
        <v>1</v>
      </c>
      <c r="K10" s="190">
        <v>1</v>
      </c>
    </row>
    <row r="11" spans="2:11">
      <c r="C11" s="7">
        <v>3</v>
      </c>
      <c r="E11" s="190">
        <v>1</v>
      </c>
      <c r="G11" s="7">
        <v>1</v>
      </c>
      <c r="I11" s="7">
        <v>1</v>
      </c>
      <c r="K11" s="190">
        <v>1</v>
      </c>
    </row>
    <row r="12" spans="2:11">
      <c r="C12" s="190">
        <v>1</v>
      </c>
      <c r="E12" s="190">
        <v>1</v>
      </c>
      <c r="G12" s="7">
        <v>1</v>
      </c>
      <c r="I12" s="7">
        <v>1</v>
      </c>
      <c r="K12" s="190">
        <v>2</v>
      </c>
    </row>
    <row r="13" spans="2:11">
      <c r="C13" s="7">
        <v>1</v>
      </c>
      <c r="E13" s="190">
        <v>1</v>
      </c>
      <c r="G13" s="7">
        <v>1</v>
      </c>
      <c r="I13" s="7">
        <v>1</v>
      </c>
      <c r="K13" s="190">
        <v>1</v>
      </c>
    </row>
    <row r="14" spans="2:11">
      <c r="B14" s="188" t="s">
        <v>156</v>
      </c>
      <c r="C14" s="204">
        <f>SUM(C3:C13)</f>
        <v>35</v>
      </c>
      <c r="D14" s="188" t="s">
        <v>157</v>
      </c>
      <c r="E14" s="204">
        <f>SUM(E3:E13)</f>
        <v>24</v>
      </c>
      <c r="G14" s="7">
        <v>1</v>
      </c>
      <c r="H14" s="188" t="s">
        <v>159</v>
      </c>
      <c r="I14" s="204">
        <f>SUM(I3:I13)</f>
        <v>20</v>
      </c>
      <c r="K14" s="7">
        <v>3</v>
      </c>
    </row>
    <row r="15" spans="2:11">
      <c r="G15" s="7">
        <v>2</v>
      </c>
      <c r="K15" s="7">
        <v>3</v>
      </c>
    </row>
    <row r="16" spans="2:11">
      <c r="G16" s="7">
        <v>1</v>
      </c>
      <c r="K16" s="7">
        <v>2</v>
      </c>
    </row>
    <row r="17" spans="3:11">
      <c r="G17" s="7">
        <v>1</v>
      </c>
      <c r="K17" s="190">
        <v>4</v>
      </c>
    </row>
    <row r="18" spans="3:11">
      <c r="F18" s="188" t="s">
        <v>158</v>
      </c>
      <c r="G18" s="204">
        <f>SUM(G3:G17)</f>
        <v>25</v>
      </c>
      <c r="K18" s="190">
        <v>1</v>
      </c>
    </row>
    <row r="19" spans="3:11">
      <c r="K19" s="190">
        <v>1</v>
      </c>
    </row>
    <row r="20" spans="3:11">
      <c r="C20" s="204">
        <f>C14+E14+G18+I14</f>
        <v>104</v>
      </c>
      <c r="K20" s="190">
        <v>1</v>
      </c>
    </row>
    <row r="21" spans="3:11">
      <c r="K21" s="190">
        <v>1</v>
      </c>
    </row>
    <row r="22" spans="3:11">
      <c r="K22" s="190">
        <v>1</v>
      </c>
    </row>
    <row r="23" spans="3:11">
      <c r="K23" s="7">
        <v>2</v>
      </c>
    </row>
    <row r="24" spans="3:11">
      <c r="K24" s="7">
        <v>6</v>
      </c>
    </row>
    <row r="25" spans="3:11">
      <c r="K25" s="7">
        <v>4</v>
      </c>
    </row>
    <row r="26" spans="3:11">
      <c r="K26" s="190">
        <v>7</v>
      </c>
    </row>
    <row r="27" spans="3:11">
      <c r="K27" s="7">
        <v>4</v>
      </c>
    </row>
    <row r="28" spans="3:11">
      <c r="K28" s="7">
        <v>5</v>
      </c>
    </row>
    <row r="29" spans="3:11">
      <c r="K29" s="7">
        <v>1</v>
      </c>
    </row>
    <row r="30" spans="3:11">
      <c r="K30" s="7">
        <v>1</v>
      </c>
    </row>
    <row r="31" spans="3:11">
      <c r="K31" s="7">
        <v>3</v>
      </c>
    </row>
    <row r="32" spans="3:11">
      <c r="K32" s="190">
        <v>1</v>
      </c>
    </row>
    <row r="33" spans="11:11">
      <c r="K33" s="7">
        <v>1</v>
      </c>
    </row>
    <row r="34" spans="11:11">
      <c r="K34" s="7">
        <v>1</v>
      </c>
    </row>
    <row r="35" spans="11:11">
      <c r="K35" s="190">
        <v>3</v>
      </c>
    </row>
    <row r="36" spans="11:11">
      <c r="K36" s="7">
        <v>2</v>
      </c>
    </row>
    <row r="37" spans="11:11">
      <c r="K37" s="7">
        <v>3</v>
      </c>
    </row>
    <row r="38" spans="11:11">
      <c r="K38" s="7">
        <v>5</v>
      </c>
    </row>
    <row r="39" spans="11:11">
      <c r="K39" s="7">
        <v>1</v>
      </c>
    </row>
    <row r="40" spans="11:11">
      <c r="K40" s="190">
        <v>2</v>
      </c>
    </row>
    <row r="41" spans="11:11">
      <c r="K41" s="190">
        <v>3</v>
      </c>
    </row>
    <row r="42" spans="11:11">
      <c r="K42" s="190">
        <v>2</v>
      </c>
    </row>
    <row r="43" spans="11:11">
      <c r="K43" s="190">
        <v>1</v>
      </c>
    </row>
    <row r="44" spans="11:11">
      <c r="K44" s="190">
        <v>1</v>
      </c>
    </row>
    <row r="45" spans="11:11">
      <c r="K45" s="190">
        <v>1</v>
      </c>
    </row>
    <row r="46" spans="11:11">
      <c r="K46" s="7">
        <v>1</v>
      </c>
    </row>
    <row r="47" spans="11:11">
      <c r="K47" s="7">
        <v>1</v>
      </c>
    </row>
    <row r="48" spans="11:11">
      <c r="K48" s="7">
        <v>1</v>
      </c>
    </row>
    <row r="49" spans="11:11">
      <c r="K49" s="7">
        <v>1</v>
      </c>
    </row>
    <row r="50" spans="11:11">
      <c r="K50" s="7">
        <v>2</v>
      </c>
    </row>
    <row r="51" spans="11:11">
      <c r="K51" s="7">
        <v>1</v>
      </c>
    </row>
    <row r="52" spans="11:11">
      <c r="K52" s="7">
        <v>1</v>
      </c>
    </row>
    <row r="53" spans="11:11">
      <c r="K53" s="7">
        <v>1</v>
      </c>
    </row>
    <row r="54" spans="11:11">
      <c r="K54" s="7">
        <v>1</v>
      </c>
    </row>
    <row r="55" spans="11:11">
      <c r="K55" s="7">
        <v>1</v>
      </c>
    </row>
    <row r="56" spans="11:11">
      <c r="K56" s="7">
        <v>1</v>
      </c>
    </row>
    <row r="57" spans="11:11">
      <c r="K57" s="7">
        <v>1</v>
      </c>
    </row>
    <row r="58" spans="11:11">
      <c r="K58" s="7">
        <v>4</v>
      </c>
    </row>
    <row r="59" spans="11:11">
      <c r="K59" s="7">
        <v>2</v>
      </c>
    </row>
    <row r="60" spans="11:11">
      <c r="K60" s="7">
        <v>3</v>
      </c>
    </row>
    <row r="61" spans="11:11">
      <c r="K61" s="7">
        <v>3</v>
      </c>
    </row>
    <row r="62" spans="11:11">
      <c r="K62" s="7">
        <v>2</v>
      </c>
    </row>
    <row r="63" spans="11:11">
      <c r="K63" s="7">
        <v>1</v>
      </c>
    </row>
    <row r="64" spans="11:11">
      <c r="K64" s="7">
        <v>1</v>
      </c>
    </row>
    <row r="65" spans="11:11">
      <c r="K65" s="7">
        <v>1</v>
      </c>
    </row>
    <row r="66" spans="11:11">
      <c r="K66" s="7">
        <v>1</v>
      </c>
    </row>
    <row r="67" spans="11:11">
      <c r="K67" s="7">
        <v>2</v>
      </c>
    </row>
    <row r="68" spans="11:11">
      <c r="K68" s="7">
        <v>1</v>
      </c>
    </row>
    <row r="69" spans="11:11">
      <c r="K69" s="7">
        <v>1</v>
      </c>
    </row>
    <row r="70" spans="11:11">
      <c r="K70" s="204">
        <f>SUM(K3:K69)</f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C2:G17"/>
  <sheetViews>
    <sheetView workbookViewId="0">
      <selection activeCell="F13" sqref="F13"/>
    </sheetView>
  </sheetViews>
  <sheetFormatPr defaultRowHeight="12.75"/>
  <cols>
    <col min="4" max="4" width="19.42578125" bestFit="1" customWidth="1"/>
    <col min="6" max="6" width="13.7109375" customWidth="1"/>
  </cols>
  <sheetData>
    <row r="2" spans="3:7">
      <c r="C2" s="339" t="s">
        <v>110</v>
      </c>
      <c r="D2" s="339" t="s">
        <v>115</v>
      </c>
      <c r="E2" s="339" t="s">
        <v>111</v>
      </c>
      <c r="F2" s="339" t="s">
        <v>113</v>
      </c>
    </row>
    <row r="3" spans="3:7" ht="72.75" customHeight="1" thickBot="1">
      <c r="C3" s="340"/>
      <c r="D3" s="340"/>
      <c r="E3" s="340"/>
      <c r="F3" s="340"/>
    </row>
    <row r="4" spans="3:7">
      <c r="C4" s="189" t="s">
        <v>148</v>
      </c>
      <c r="D4" s="187" t="s">
        <v>71</v>
      </c>
      <c r="E4" s="190">
        <v>6</v>
      </c>
      <c r="F4" s="190">
        <v>2</v>
      </c>
    </row>
    <row r="5" spans="3:7" s="212" customFormat="1">
      <c r="C5" s="189" t="s">
        <v>148</v>
      </c>
      <c r="D5" s="187" t="s">
        <v>71</v>
      </c>
      <c r="E5" s="190">
        <v>8</v>
      </c>
      <c r="F5" s="190">
        <v>2</v>
      </c>
    </row>
    <row r="6" spans="3:7">
      <c r="C6" s="189" t="s">
        <v>148</v>
      </c>
      <c r="D6" s="187" t="s">
        <v>71</v>
      </c>
      <c r="E6" s="190">
        <v>12</v>
      </c>
      <c r="F6" s="190">
        <v>2</v>
      </c>
      <c r="G6" s="204"/>
    </row>
    <row r="7" spans="3:7" s="213" customFormat="1">
      <c r="C7" s="189" t="s">
        <v>148</v>
      </c>
      <c r="D7" s="187" t="s">
        <v>71</v>
      </c>
      <c r="E7" s="190">
        <v>16</v>
      </c>
      <c r="F7" s="190">
        <v>2</v>
      </c>
      <c r="G7" s="204">
        <f>SUM(F4:F7)</f>
        <v>8</v>
      </c>
    </row>
    <row r="8" spans="3:7">
      <c r="C8" s="189" t="s">
        <v>148</v>
      </c>
      <c r="D8" s="187" t="s">
        <v>160</v>
      </c>
      <c r="E8" s="190">
        <v>12</v>
      </c>
      <c r="F8" s="190">
        <v>2</v>
      </c>
    </row>
    <row r="9" spans="3:7">
      <c r="C9" s="189" t="s">
        <v>148</v>
      </c>
      <c r="D9" s="187" t="s">
        <v>160</v>
      </c>
      <c r="E9" s="190">
        <v>16</v>
      </c>
      <c r="F9" s="190">
        <v>4</v>
      </c>
    </row>
    <row r="10" spans="3:7" s="213" customFormat="1">
      <c r="C10" s="189" t="s">
        <v>148</v>
      </c>
      <c r="D10" s="187" t="s">
        <v>160</v>
      </c>
      <c r="E10" s="190">
        <v>20</v>
      </c>
      <c r="F10" s="190">
        <v>1</v>
      </c>
    </row>
    <row r="11" spans="3:7">
      <c r="C11" s="189" t="s">
        <v>148</v>
      </c>
      <c r="D11" s="187" t="s">
        <v>160</v>
      </c>
      <c r="E11" s="190">
        <v>24</v>
      </c>
      <c r="F11" s="190">
        <v>1</v>
      </c>
      <c r="G11" s="204">
        <f>SUM(F8:F11)</f>
        <v>8</v>
      </c>
    </row>
    <row r="12" spans="3:7" s="212" customFormat="1">
      <c r="C12" s="189" t="s">
        <v>148</v>
      </c>
      <c r="D12" s="187" t="s">
        <v>74</v>
      </c>
      <c r="E12" s="190">
        <v>24</v>
      </c>
      <c r="F12" s="190">
        <v>2</v>
      </c>
    </row>
    <row r="13" spans="3:7">
      <c r="C13" s="189" t="s">
        <v>148</v>
      </c>
      <c r="D13" s="187" t="s">
        <v>74</v>
      </c>
      <c r="E13" s="190">
        <v>20</v>
      </c>
      <c r="F13" s="190">
        <v>2</v>
      </c>
    </row>
    <row r="14" spans="3:7">
      <c r="C14" s="176" t="s">
        <v>148</v>
      </c>
      <c r="D14" s="187" t="s">
        <v>74</v>
      </c>
      <c r="E14" s="190">
        <v>16</v>
      </c>
      <c r="F14" s="7">
        <v>3</v>
      </c>
    </row>
    <row r="15" spans="3:7">
      <c r="C15" s="176" t="s">
        <v>148</v>
      </c>
      <c r="D15" s="187" t="s">
        <v>74</v>
      </c>
      <c r="E15" s="190">
        <v>16</v>
      </c>
      <c r="F15" s="7"/>
      <c r="G15" s="204">
        <f>SUM(F12:F16)</f>
        <v>8</v>
      </c>
    </row>
    <row r="16" spans="3:7">
      <c r="C16" s="176" t="s">
        <v>148</v>
      </c>
      <c r="D16" s="187" t="s">
        <v>74</v>
      </c>
      <c r="E16" s="190">
        <v>12</v>
      </c>
      <c r="F16" s="7">
        <v>1</v>
      </c>
    </row>
    <row r="17" spans="6:7">
      <c r="F17" s="204">
        <f>SUM(F4:F16)</f>
        <v>24</v>
      </c>
      <c r="G17" s="204"/>
    </row>
  </sheetData>
  <mergeCells count="4"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тит на паспорт</vt:lpstr>
      <vt:lpstr>пасп</vt:lpstr>
      <vt:lpstr>пасп (2)</vt:lpstr>
      <vt:lpstr>ГКРМ</vt:lpstr>
      <vt:lpstr>лист изменений</vt:lpstr>
      <vt:lpstr>d-l-h</vt:lpstr>
      <vt:lpstr>d кроны</vt:lpstr>
      <vt:lpstr>Лист2</vt:lpstr>
      <vt:lpstr>Лист1</vt:lpstr>
      <vt:lpstr>ГКРМ!Область_печати</vt:lpstr>
      <vt:lpstr>пасп!Область_печати</vt:lpstr>
      <vt:lpstr>'пасп (2)'!Область_печати</vt:lpstr>
      <vt:lpstr>'тит на паспорт'!Область_печати</vt:lpstr>
    </vt:vector>
  </TitlesOfParts>
  <Company>CEP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Шевцова Виктория Леонтьевна</cp:lastModifiedBy>
  <cp:lastPrinted>2018-07-12T08:59:53Z</cp:lastPrinted>
  <dcterms:created xsi:type="dcterms:W3CDTF">2009-08-03T13:54:51Z</dcterms:created>
  <dcterms:modified xsi:type="dcterms:W3CDTF">2018-07-12T09:25:42Z</dcterms:modified>
</cp:coreProperties>
</file>